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indriks\AppData\Local\Microsoft\Windows\INetCache\Content.Outlook\XAIGGN13\"/>
    </mc:Choice>
  </mc:AlternateContent>
  <xr:revisionPtr revIDLastSave="0" documentId="13_ncr:1_{EB344FDD-0D7A-4990-AEBA-EF1913DE21C8}" xr6:coauthVersionLast="47" xr6:coauthVersionMax="47" xr10:uidLastSave="{00000000-0000-0000-0000-000000000000}"/>
  <bookViews>
    <workbookView xWindow="-110" yWindow="-110" windowWidth="19420" windowHeight="11500" activeTab="4" xr2:uid="{00000000-000D-0000-FFFF-FFFF00000000}"/>
  </bookViews>
  <sheets>
    <sheet name="Cover" sheetId="11" r:id="rId1"/>
    <sheet name="Pénibilité" sheetId="7" r:id="rId2"/>
    <sheet name="Longévité" sheetId="3" r:id="rId3"/>
    <sheet name="Anticipation" sheetId="9" r:id="rId4"/>
    <sheet name="Mixte" sheetId="12" r:id="rId5"/>
    <sheet name="Calcul longévité" sheetId="5" state="hidden" r:id="rId6"/>
    <sheet name="Calcul anticipation" sheetId="10" state="hidden" r:id="rId7"/>
    <sheet name="Calcul Mixte" sheetId="14" state="hidden" r:id="rId8"/>
    <sheet name="Calcul pénibilité" sheetId="8" state="hidden" r:id="rId9"/>
  </sheets>
  <definedNames>
    <definedName name="Quel_type_de_scénario?" localSheetId="7">#REF!</definedName>
    <definedName name="Quel_type_de_scénario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2" l="1"/>
  <c r="E30" i="12"/>
  <c r="E31" i="12"/>
  <c r="E32" i="12"/>
  <c r="P30" i="14" s="1"/>
  <c r="E33" i="12"/>
  <c r="P31" i="14" s="1"/>
  <c r="D30" i="12"/>
  <c r="P3" i="14" s="1"/>
  <c r="D31" i="12"/>
  <c r="P4" i="14" s="1"/>
  <c r="D32" i="12"/>
  <c r="D33" i="12"/>
  <c r="D29" i="12"/>
  <c r="P2" i="14" s="1"/>
  <c r="E23" i="12"/>
  <c r="N27" i="14" s="1"/>
  <c r="E24" i="12"/>
  <c r="N28" i="14" s="1"/>
  <c r="E25" i="12"/>
  <c r="N29" i="14" s="1"/>
  <c r="E26" i="12"/>
  <c r="N30" i="14" s="1"/>
  <c r="E35" i="14" s="1"/>
  <c r="E27" i="12"/>
  <c r="D24" i="12"/>
  <c r="D25" i="12"/>
  <c r="N4" i="14" s="1"/>
  <c r="D26" i="12"/>
  <c r="N5" i="14" s="1"/>
  <c r="E10" i="14" s="1"/>
  <c r="D27" i="12"/>
  <c r="D23" i="12"/>
  <c r="N2" i="14" s="1"/>
  <c r="E18" i="12"/>
  <c r="E19" i="12"/>
  <c r="E20" i="12"/>
  <c r="E21" i="12"/>
  <c r="E17" i="12"/>
  <c r="D27" i="14" s="1"/>
  <c r="D18" i="12"/>
  <c r="D3" i="14" s="1"/>
  <c r="D19" i="12"/>
  <c r="D4" i="14" s="1"/>
  <c r="D20" i="12"/>
  <c r="D5" i="14" s="1"/>
  <c r="D21" i="12"/>
  <c r="D6" i="14" s="1"/>
  <c r="D17" i="12"/>
  <c r="D2" i="14" s="1"/>
  <c r="E5" i="12"/>
  <c r="O27" i="14" s="1"/>
  <c r="E6" i="12"/>
  <c r="O28" i="14" s="1"/>
  <c r="E7" i="12"/>
  <c r="O29" i="14" s="1"/>
  <c r="E8" i="12"/>
  <c r="O30" i="14" s="1"/>
  <c r="E9" i="12"/>
  <c r="O31" i="14" s="1"/>
  <c r="D6" i="12"/>
  <c r="O3" i="14" s="1"/>
  <c r="D7" i="12"/>
  <c r="D8" i="12"/>
  <c r="O5" i="14" s="1"/>
  <c r="D9" i="12"/>
  <c r="O6" i="14" s="1"/>
  <c r="D5" i="12"/>
  <c r="O2" i="14" s="1"/>
  <c r="E11" i="12"/>
  <c r="E12" i="12"/>
  <c r="E13" i="12"/>
  <c r="E14" i="12"/>
  <c r="E15" i="12"/>
  <c r="D12" i="12"/>
  <c r="D13" i="12"/>
  <c r="D14" i="12"/>
  <c r="D15" i="12"/>
  <c r="D11" i="12"/>
  <c r="H2" i="14" s="1"/>
  <c r="T2" i="14" s="1"/>
  <c r="P28" i="14"/>
  <c r="P29" i="14"/>
  <c r="P27" i="14"/>
  <c r="N31" i="14"/>
  <c r="E36" i="14" s="1"/>
  <c r="H28" i="14"/>
  <c r="H29" i="14"/>
  <c r="T29" i="14" s="1"/>
  <c r="H30" i="14"/>
  <c r="T30" i="14" s="1"/>
  <c r="H31" i="14"/>
  <c r="H27" i="14"/>
  <c r="J27" i="14" s="1"/>
  <c r="D28" i="14"/>
  <c r="D29" i="14"/>
  <c r="D30" i="14"/>
  <c r="D31" i="14"/>
  <c r="P5" i="14"/>
  <c r="P6" i="14"/>
  <c r="O4" i="14"/>
  <c r="N3" i="14"/>
  <c r="N6" i="14"/>
  <c r="E11" i="14" s="1"/>
  <c r="H3" i="14"/>
  <c r="H4" i="14"/>
  <c r="T4" i="14" s="1"/>
  <c r="H5" i="14"/>
  <c r="J5" i="14" s="1"/>
  <c r="H6" i="14"/>
  <c r="J6" i="14" s="1"/>
  <c r="S16" i="12"/>
  <c r="R16" i="12"/>
  <c r="S15" i="12"/>
  <c r="R15" i="12"/>
  <c r="S14" i="12"/>
  <c r="R14" i="12"/>
  <c r="S13" i="12"/>
  <c r="R13" i="12"/>
  <c r="S12" i="12"/>
  <c r="R12" i="12"/>
  <c r="S8" i="12"/>
  <c r="S7" i="12"/>
  <c r="S6" i="12"/>
  <c r="C6" i="12"/>
  <c r="C7" i="12" s="1"/>
  <c r="S5" i="12"/>
  <c r="S4" i="12"/>
  <c r="D45" i="14"/>
  <c r="B45" i="14"/>
  <c r="B41" i="14"/>
  <c r="B40" i="14"/>
  <c r="B36" i="14"/>
  <c r="B35" i="14"/>
  <c r="J31" i="14"/>
  <c r="F31" i="14"/>
  <c r="F30" i="14"/>
  <c r="F29" i="14"/>
  <c r="F28" i="14"/>
  <c r="F27" i="14"/>
  <c r="D20" i="14"/>
  <c r="B20" i="14"/>
  <c r="B16" i="14"/>
  <c r="B15" i="14"/>
  <c r="B11" i="14"/>
  <c r="B10" i="14"/>
  <c r="F6" i="14"/>
  <c r="F5" i="14"/>
  <c r="F4" i="14"/>
  <c r="F3" i="14"/>
  <c r="F2" i="14"/>
  <c r="G27" i="14" l="1"/>
  <c r="S27" i="14" s="1"/>
  <c r="G4" i="14"/>
  <c r="S4" i="14" s="1"/>
  <c r="U4" i="14" s="1"/>
  <c r="K18" i="12" s="1"/>
  <c r="T6" i="12" s="1"/>
  <c r="T6" i="14"/>
  <c r="G30" i="14"/>
  <c r="C35" i="14" s="1"/>
  <c r="G2" i="14"/>
  <c r="S2" i="14" s="1"/>
  <c r="U2" i="14" s="1"/>
  <c r="K16" i="12" s="1"/>
  <c r="T4" i="12" s="1"/>
  <c r="G6" i="14"/>
  <c r="C11" i="14" s="1"/>
  <c r="F11" i="14" s="1"/>
  <c r="G28" i="14"/>
  <c r="S28" i="14" s="1"/>
  <c r="G29" i="14"/>
  <c r="S29" i="14" s="1"/>
  <c r="U29" i="14" s="1"/>
  <c r="M18" i="12" s="1"/>
  <c r="U6" i="12" s="1"/>
  <c r="J4" i="14"/>
  <c r="T5" i="14"/>
  <c r="E45" i="14"/>
  <c r="S6" i="14"/>
  <c r="U6" i="14" s="1"/>
  <c r="K20" i="12" s="1"/>
  <c r="G3" i="14"/>
  <c r="S3" i="14" s="1"/>
  <c r="Q27" i="14"/>
  <c r="E20" i="14"/>
  <c r="J28" i="14"/>
  <c r="Q28" i="14" s="1"/>
  <c r="T28" i="14"/>
  <c r="J3" i="14"/>
  <c r="Q3" i="14" s="1"/>
  <c r="J30" i="14"/>
  <c r="R28" i="14"/>
  <c r="N11" i="12" s="1"/>
  <c r="U13" i="12" s="1"/>
  <c r="J29" i="14"/>
  <c r="T3" i="14"/>
  <c r="T31" i="14"/>
  <c r="J2" i="14"/>
  <c r="Q2" i="14" s="1"/>
  <c r="R2" i="14"/>
  <c r="L10" i="12" s="1"/>
  <c r="T12" i="12" s="1"/>
  <c r="R27" i="14"/>
  <c r="N10" i="12" s="1"/>
  <c r="U12" i="12" s="1"/>
  <c r="F35" i="14"/>
  <c r="G31" i="14"/>
  <c r="R3" i="14"/>
  <c r="L11" i="12" s="1"/>
  <c r="T13" i="12" s="1"/>
  <c r="G5" i="14"/>
  <c r="T27" i="14"/>
  <c r="U27" i="14" s="1"/>
  <c r="M16" i="12" s="1"/>
  <c r="U4" i="12" s="1"/>
  <c r="S9" i="9"/>
  <c r="S8" i="9"/>
  <c r="S6" i="9"/>
  <c r="S7" i="9"/>
  <c r="S5" i="9"/>
  <c r="U10" i="3"/>
  <c r="V10" i="3"/>
  <c r="U11" i="3"/>
  <c r="V11" i="3"/>
  <c r="U12" i="3"/>
  <c r="V12" i="3"/>
  <c r="U13" i="3"/>
  <c r="V13" i="3"/>
  <c r="U14" i="3"/>
  <c r="V14" i="3"/>
  <c r="T11" i="3"/>
  <c r="T12" i="3"/>
  <c r="T13" i="3"/>
  <c r="T14" i="3"/>
  <c r="T10" i="3"/>
  <c r="S11" i="9"/>
  <c r="S12" i="9"/>
  <c r="S13" i="9"/>
  <c r="S14" i="9"/>
  <c r="S15" i="9"/>
  <c r="R12" i="9"/>
  <c r="R13" i="9"/>
  <c r="R14" i="9"/>
  <c r="R15" i="9"/>
  <c r="R11" i="9"/>
  <c r="Q12" i="9"/>
  <c r="Q13" i="9"/>
  <c r="Q14" i="9"/>
  <c r="Q15" i="9"/>
  <c r="Q11" i="9"/>
  <c r="S13" i="7"/>
  <c r="S14" i="7"/>
  <c r="S15" i="7"/>
  <c r="S16" i="7"/>
  <c r="S12" i="7"/>
  <c r="R13" i="7"/>
  <c r="R14" i="7"/>
  <c r="R15" i="7"/>
  <c r="R16" i="7"/>
  <c r="R12" i="7"/>
  <c r="S8" i="7"/>
  <c r="S7" i="7"/>
  <c r="S5" i="7"/>
  <c r="S6" i="7"/>
  <c r="S4" i="7"/>
  <c r="X7" i="3"/>
  <c r="X6" i="3"/>
  <c r="X4" i="3"/>
  <c r="X5" i="3"/>
  <c r="X3" i="3"/>
  <c r="W7" i="3"/>
  <c r="W6" i="3"/>
  <c r="W4" i="3"/>
  <c r="W5" i="3"/>
  <c r="W3" i="3"/>
  <c r="C6" i="7"/>
  <c r="C7" i="7" s="1"/>
  <c r="D30" i="9"/>
  <c r="D31" i="9" s="1"/>
  <c r="O4" i="10"/>
  <c r="O5" i="10" s="1"/>
  <c r="O6" i="10" s="1"/>
  <c r="O3" i="10"/>
  <c r="O37" i="5"/>
  <c r="O38" i="5" s="1"/>
  <c r="O39" i="5" s="1"/>
  <c r="O40" i="5" s="1"/>
  <c r="O15" i="5"/>
  <c r="N12" i="5"/>
  <c r="N13" i="5"/>
  <c r="N14" i="5"/>
  <c r="E19" i="5" s="1"/>
  <c r="N15" i="5"/>
  <c r="E20" i="5" s="1"/>
  <c r="E29" i="5" s="1"/>
  <c r="N11" i="5"/>
  <c r="D12" i="5"/>
  <c r="D13" i="5"/>
  <c r="D14" i="5"/>
  <c r="D15" i="5"/>
  <c r="D11" i="5"/>
  <c r="S30" i="14" l="1"/>
  <c r="U30" i="14" s="1"/>
  <c r="M19" i="12" s="1"/>
  <c r="C20" i="14"/>
  <c r="F20" i="14" s="1"/>
  <c r="F22" i="14" s="1"/>
  <c r="U28" i="14"/>
  <c r="M17" i="12" s="1"/>
  <c r="U5" i="12" s="1"/>
  <c r="U3" i="14"/>
  <c r="K17" i="12" s="1"/>
  <c r="T5" i="12" s="1"/>
  <c r="C10" i="14"/>
  <c r="F10" i="14" s="1"/>
  <c r="F13" i="14" s="1"/>
  <c r="S5" i="14"/>
  <c r="U5" i="14" s="1"/>
  <c r="K19" i="12" s="1"/>
  <c r="R4" i="14"/>
  <c r="L12" i="12" s="1"/>
  <c r="T14" i="12" s="1"/>
  <c r="C45" i="14"/>
  <c r="F45" i="14" s="1"/>
  <c r="F47" i="14" s="1"/>
  <c r="C36" i="14"/>
  <c r="F36" i="14" s="1"/>
  <c r="F38" i="14" s="1"/>
  <c r="S31" i="14"/>
  <c r="U31" i="14" s="1"/>
  <c r="M20" i="12" s="1"/>
  <c r="Q4" i="14"/>
  <c r="U37" i="8"/>
  <c r="U36" i="8"/>
  <c r="U35" i="8"/>
  <c r="U11" i="8"/>
  <c r="U10" i="8"/>
  <c r="S31" i="10"/>
  <c r="S30" i="10"/>
  <c r="S29" i="10"/>
  <c r="P28" i="10"/>
  <c r="P29" i="10"/>
  <c r="P30" i="10"/>
  <c r="P31" i="10"/>
  <c r="P27" i="10"/>
  <c r="P3" i="10"/>
  <c r="P4" i="10"/>
  <c r="P5" i="10"/>
  <c r="P6" i="10"/>
  <c r="P2" i="10"/>
  <c r="O28" i="10"/>
  <c r="O29" i="10"/>
  <c r="O30" i="10"/>
  <c r="O27" i="10"/>
  <c r="J3" i="10"/>
  <c r="J4" i="10"/>
  <c r="J5" i="10"/>
  <c r="T6" i="10"/>
  <c r="J2" i="10"/>
  <c r="E45" i="10"/>
  <c r="D45" i="10"/>
  <c r="B45" i="10"/>
  <c r="B41" i="10"/>
  <c r="B40" i="10"/>
  <c r="E36" i="10"/>
  <c r="B36" i="10"/>
  <c r="E35" i="10"/>
  <c r="B35" i="10"/>
  <c r="F31" i="10"/>
  <c r="G31" i="10" s="1"/>
  <c r="F30" i="10"/>
  <c r="G30" i="10" s="1"/>
  <c r="C35" i="10" s="1"/>
  <c r="F35" i="10" s="1"/>
  <c r="F29" i="10"/>
  <c r="G29" i="10" s="1"/>
  <c r="F28" i="10"/>
  <c r="G28" i="10" s="1"/>
  <c r="S28" i="10" s="1"/>
  <c r="F27" i="10"/>
  <c r="G27" i="10" s="1"/>
  <c r="S27" i="10" s="1"/>
  <c r="E20" i="10"/>
  <c r="D20" i="10"/>
  <c r="B20" i="10"/>
  <c r="B16" i="10"/>
  <c r="B15" i="10"/>
  <c r="E11" i="10"/>
  <c r="B11" i="10"/>
  <c r="E10" i="10"/>
  <c r="B10" i="10"/>
  <c r="F6" i="10"/>
  <c r="G6" i="10" s="1"/>
  <c r="S6" i="10" s="1"/>
  <c r="F5" i="10"/>
  <c r="G5" i="10" s="1"/>
  <c r="F4" i="10"/>
  <c r="G4" i="10" s="1"/>
  <c r="S4" i="10" s="1"/>
  <c r="F3" i="10"/>
  <c r="G3" i="10" s="1"/>
  <c r="S3" i="10" s="1"/>
  <c r="G2" i="10"/>
  <c r="S2" i="10" s="1"/>
  <c r="F2" i="10"/>
  <c r="Q36" i="8"/>
  <c r="Q37" i="8"/>
  <c r="Q38" i="8"/>
  <c r="Q39" i="8"/>
  <c r="Q35" i="8"/>
  <c r="J36" i="8"/>
  <c r="L36" i="8" s="1"/>
  <c r="J37" i="8"/>
  <c r="L37" i="8" s="1"/>
  <c r="J38" i="8"/>
  <c r="L38" i="8" s="1"/>
  <c r="J39" i="8"/>
  <c r="L39" i="8" s="1"/>
  <c r="J35" i="8"/>
  <c r="L35" i="8" s="1"/>
  <c r="G53" i="8"/>
  <c r="F53" i="8"/>
  <c r="D53" i="8"/>
  <c r="D49" i="8"/>
  <c r="D48" i="8"/>
  <c r="G44" i="8"/>
  <c r="D44" i="8"/>
  <c r="G43" i="8"/>
  <c r="D43" i="8"/>
  <c r="H39" i="8"/>
  <c r="I39" i="8" s="1"/>
  <c r="H38" i="8"/>
  <c r="I38" i="8" s="1"/>
  <c r="E43" i="8" s="1"/>
  <c r="H43" i="8" s="1"/>
  <c r="I37" i="8"/>
  <c r="H37" i="8"/>
  <c r="H36" i="8"/>
  <c r="I36" i="8" s="1"/>
  <c r="H35" i="8"/>
  <c r="I35" i="8" s="1"/>
  <c r="R36" i="8"/>
  <c r="R37" i="8"/>
  <c r="R38" i="8"/>
  <c r="R39" i="8"/>
  <c r="R35" i="8"/>
  <c r="Q11" i="8"/>
  <c r="Q12" i="8"/>
  <c r="Q13" i="8"/>
  <c r="Q14" i="8"/>
  <c r="Q10" i="8"/>
  <c r="J11" i="8"/>
  <c r="L11" i="8" s="1"/>
  <c r="J12" i="8"/>
  <c r="L12" i="8" s="1"/>
  <c r="J13" i="8"/>
  <c r="L13" i="8" s="1"/>
  <c r="J14" i="8"/>
  <c r="L14" i="8" s="1"/>
  <c r="J10" i="8"/>
  <c r="L10" i="8" s="1"/>
  <c r="F28" i="8"/>
  <c r="D28" i="8"/>
  <c r="D24" i="8"/>
  <c r="D23" i="8"/>
  <c r="D19" i="8"/>
  <c r="D18" i="8"/>
  <c r="G28" i="8"/>
  <c r="H14" i="8"/>
  <c r="I14" i="8"/>
  <c r="U14" i="8" s="1"/>
  <c r="G18" i="8"/>
  <c r="H13" i="8"/>
  <c r="I13" i="8"/>
  <c r="E18" i="8" s="1"/>
  <c r="H12" i="8"/>
  <c r="I12" i="8" s="1"/>
  <c r="U12" i="8" s="1"/>
  <c r="H11" i="8"/>
  <c r="I11" i="8"/>
  <c r="H10" i="8"/>
  <c r="I10" i="8" s="1"/>
  <c r="D36" i="5"/>
  <c r="F36" i="5"/>
  <c r="N36" i="5"/>
  <c r="D37" i="5"/>
  <c r="G37" i="5" s="1"/>
  <c r="S37" i="5" s="1"/>
  <c r="F37" i="5"/>
  <c r="N37" i="5"/>
  <c r="D38" i="5"/>
  <c r="F38" i="5"/>
  <c r="N38" i="5"/>
  <c r="D39" i="5"/>
  <c r="F39" i="5"/>
  <c r="N39" i="5"/>
  <c r="E44" i="5" s="1"/>
  <c r="D40" i="5"/>
  <c r="G40" i="5" s="1"/>
  <c r="S40" i="5" s="1"/>
  <c r="F40" i="5"/>
  <c r="N40" i="5"/>
  <c r="E54" i="5" s="1"/>
  <c r="B44" i="5"/>
  <c r="B45" i="5"/>
  <c r="B49" i="5"/>
  <c r="B50" i="5"/>
  <c r="B54" i="5"/>
  <c r="D54" i="5"/>
  <c r="D29" i="5"/>
  <c r="B29" i="5"/>
  <c r="C10" i="10" l="1"/>
  <c r="S5" i="10"/>
  <c r="E53" i="8"/>
  <c r="E44" i="8"/>
  <c r="H44" i="8" s="1"/>
  <c r="H46" i="8" s="1"/>
  <c r="U39" i="8"/>
  <c r="U38" i="8"/>
  <c r="G38" i="5"/>
  <c r="S38" i="5" s="1"/>
  <c r="G36" i="5"/>
  <c r="S36" i="5" s="1"/>
  <c r="U13" i="8"/>
  <c r="F10" i="10"/>
  <c r="Q5" i="14"/>
  <c r="R5" i="14"/>
  <c r="L13" i="12" s="1"/>
  <c r="T15" i="12" s="1"/>
  <c r="R29" i="14"/>
  <c r="N12" i="12" s="1"/>
  <c r="U14" i="12" s="1"/>
  <c r="Q29" i="14"/>
  <c r="J6" i="10"/>
  <c r="Q6" i="10" s="1"/>
  <c r="T4" i="10"/>
  <c r="U4" i="10" s="1"/>
  <c r="L19" i="9" s="1"/>
  <c r="T7" i="9" s="1"/>
  <c r="R6" i="10"/>
  <c r="M15" i="9" s="1"/>
  <c r="T15" i="9" s="1"/>
  <c r="S10" i="8"/>
  <c r="T37" i="8"/>
  <c r="N12" i="7" s="1"/>
  <c r="U14" i="7" s="1"/>
  <c r="T38" i="8"/>
  <c r="N13" i="7" s="1"/>
  <c r="U15" i="7" s="1"/>
  <c r="T13" i="8"/>
  <c r="T12" i="8"/>
  <c r="L12" i="7" s="1"/>
  <c r="T14" i="7" s="1"/>
  <c r="T11" i="8"/>
  <c r="T36" i="8"/>
  <c r="N11" i="7" s="1"/>
  <c r="U13" i="7" s="1"/>
  <c r="V35" i="8"/>
  <c r="W35" i="8" s="1"/>
  <c r="M16" i="7" s="1"/>
  <c r="U4" i="7" s="1"/>
  <c r="T35" i="8"/>
  <c r="N10" i="7" s="1"/>
  <c r="U12" i="7" s="1"/>
  <c r="T10" i="8"/>
  <c r="T14" i="8"/>
  <c r="T39" i="8"/>
  <c r="N14" i="7" s="1"/>
  <c r="U16" i="7" s="1"/>
  <c r="V11" i="8"/>
  <c r="W11" i="8" s="1"/>
  <c r="O31" i="10"/>
  <c r="R2" i="10"/>
  <c r="M11" i="9" s="1"/>
  <c r="T11" i="9" s="1"/>
  <c r="H27" i="10"/>
  <c r="R27" i="10" s="1"/>
  <c r="O11" i="9" s="1"/>
  <c r="U11" i="9" s="1"/>
  <c r="R3" i="10"/>
  <c r="M12" i="9" s="1"/>
  <c r="T12" i="9" s="1"/>
  <c r="T5" i="10"/>
  <c r="U5" i="10" s="1"/>
  <c r="L20" i="9" s="1"/>
  <c r="H31" i="10"/>
  <c r="R4" i="10"/>
  <c r="M13" i="9" s="1"/>
  <c r="T13" i="9" s="1"/>
  <c r="U6" i="10"/>
  <c r="L21" i="9" s="1"/>
  <c r="H30" i="10"/>
  <c r="R30" i="10" s="1"/>
  <c r="O14" i="9" s="1"/>
  <c r="U14" i="9" s="1"/>
  <c r="R5" i="10"/>
  <c r="M14" i="9" s="1"/>
  <c r="T14" i="9" s="1"/>
  <c r="T2" i="10"/>
  <c r="U2" i="10" s="1"/>
  <c r="L17" i="9" s="1"/>
  <c r="T5" i="9" s="1"/>
  <c r="T3" i="10"/>
  <c r="U3" i="10" s="1"/>
  <c r="L18" i="9" s="1"/>
  <c r="T6" i="9" s="1"/>
  <c r="V12" i="8"/>
  <c r="W12" i="8" s="1"/>
  <c r="V36" i="8"/>
  <c r="W36" i="8" s="1"/>
  <c r="M17" i="7" s="1"/>
  <c r="U5" i="7" s="1"/>
  <c r="V13" i="8"/>
  <c r="W13" i="8" s="1"/>
  <c r="V37" i="8"/>
  <c r="W37" i="8" s="1"/>
  <c r="M18" i="7" s="1"/>
  <c r="U6" i="7" s="1"/>
  <c r="V10" i="8"/>
  <c r="W10" i="8" s="1"/>
  <c r="V14" i="8"/>
  <c r="W14" i="8" s="1"/>
  <c r="V38" i="8"/>
  <c r="V39" i="8"/>
  <c r="Q3" i="10"/>
  <c r="H29" i="10"/>
  <c r="H28" i="10"/>
  <c r="Q4" i="10"/>
  <c r="Q5" i="10"/>
  <c r="Q2" i="10"/>
  <c r="C45" i="10"/>
  <c r="F45" i="10" s="1"/>
  <c r="F47" i="10" s="1"/>
  <c r="C36" i="10"/>
  <c r="F36" i="10" s="1"/>
  <c r="C20" i="10"/>
  <c r="F20" i="10" s="1"/>
  <c r="F22" i="10" s="1"/>
  <c r="C11" i="10"/>
  <c r="F11" i="10" s="1"/>
  <c r="F13" i="10" s="1"/>
  <c r="F38" i="10"/>
  <c r="G39" i="5"/>
  <c r="S39" i="8"/>
  <c r="S36" i="8"/>
  <c r="S14" i="8"/>
  <c r="S38" i="8"/>
  <c r="S37" i="8"/>
  <c r="S35" i="8"/>
  <c r="H53" i="8"/>
  <c r="H55" i="8" s="1"/>
  <c r="S13" i="8"/>
  <c r="S11" i="8"/>
  <c r="S12" i="8"/>
  <c r="H18" i="8"/>
  <c r="E28" i="8"/>
  <c r="H28" i="8" s="1"/>
  <c r="H30" i="8" s="1"/>
  <c r="E19" i="8"/>
  <c r="G19" i="8"/>
  <c r="H19" i="8" s="1"/>
  <c r="H21" i="8" s="1"/>
  <c r="E45" i="5"/>
  <c r="C45" i="5"/>
  <c r="C54" i="5"/>
  <c r="F54" i="5" s="1"/>
  <c r="F56" i="5" s="1"/>
  <c r="B25" i="5"/>
  <c r="B24" i="5"/>
  <c r="B20" i="5"/>
  <c r="B19" i="5"/>
  <c r="T11" i="5"/>
  <c r="T12" i="5"/>
  <c r="P12" i="5"/>
  <c r="P13" i="5"/>
  <c r="P14" i="5"/>
  <c r="P39" i="5" s="1"/>
  <c r="P15" i="5"/>
  <c r="P40" i="5" s="1"/>
  <c r="P11" i="5"/>
  <c r="W38" i="8" l="1"/>
  <c r="M19" i="7" s="1"/>
  <c r="W39" i="8"/>
  <c r="M20" i="7" s="1"/>
  <c r="Q30" i="14"/>
  <c r="R30" i="14"/>
  <c r="N13" i="12" s="1"/>
  <c r="U15" i="12" s="1"/>
  <c r="R6" i="14"/>
  <c r="L14" i="12" s="1"/>
  <c r="T16" i="12" s="1"/>
  <c r="Q6" i="14"/>
  <c r="Q8" i="14" s="1"/>
  <c r="K4" i="12" s="1"/>
  <c r="P38" i="5"/>
  <c r="P37" i="5"/>
  <c r="P36" i="5"/>
  <c r="L10" i="7"/>
  <c r="T12" i="7" s="1"/>
  <c r="L11" i="7"/>
  <c r="T13" i="7" s="1"/>
  <c r="L13" i="7"/>
  <c r="T15" i="7" s="1"/>
  <c r="K19" i="7"/>
  <c r="K18" i="7"/>
  <c r="T6" i="7" s="1"/>
  <c r="L14" i="7"/>
  <c r="T16" i="7" s="1"/>
  <c r="K17" i="7"/>
  <c r="T5" i="7" s="1"/>
  <c r="K20" i="7"/>
  <c r="K16" i="7"/>
  <c r="T4" i="7" s="1"/>
  <c r="R31" i="10"/>
  <c r="O15" i="9" s="1"/>
  <c r="U15" i="9" s="1"/>
  <c r="J29" i="10"/>
  <c r="Q29" i="10" s="1"/>
  <c r="T29" i="10"/>
  <c r="U29" i="10" s="1"/>
  <c r="N19" i="9" s="1"/>
  <c r="U7" i="9" s="1"/>
  <c r="J27" i="10"/>
  <c r="Q27" i="10" s="1"/>
  <c r="T27" i="10"/>
  <c r="U27" i="10" s="1"/>
  <c r="N17" i="9" s="1"/>
  <c r="U5" i="9" s="1"/>
  <c r="J30" i="10"/>
  <c r="Q30" i="10" s="1"/>
  <c r="T30" i="10"/>
  <c r="U30" i="10" s="1"/>
  <c r="N20" i="9" s="1"/>
  <c r="J28" i="10"/>
  <c r="Q28" i="10" s="1"/>
  <c r="T28" i="10"/>
  <c r="U28" i="10" s="1"/>
  <c r="N18" i="9" s="1"/>
  <c r="U6" i="9" s="1"/>
  <c r="R28" i="10"/>
  <c r="O12" i="9" s="1"/>
  <c r="U12" i="9" s="1"/>
  <c r="R29" i="10"/>
  <c r="O13" i="9" s="1"/>
  <c r="U13" i="9" s="1"/>
  <c r="J31" i="10"/>
  <c r="Q31" i="10" s="1"/>
  <c r="T31" i="10"/>
  <c r="U31" i="10" s="1"/>
  <c r="N21" i="9" s="1"/>
  <c r="R12" i="5"/>
  <c r="O11" i="3" s="1"/>
  <c r="W11" i="3" s="1"/>
  <c r="C44" i="5"/>
  <c r="F44" i="5" s="1"/>
  <c r="S39" i="5"/>
  <c r="Q8" i="10"/>
  <c r="F45" i="5"/>
  <c r="S41" i="8"/>
  <c r="M4" i="7" s="1"/>
  <c r="S16" i="8"/>
  <c r="J12" i="5"/>
  <c r="Q12" i="5" s="1"/>
  <c r="J11" i="5"/>
  <c r="Q11" i="5" s="1"/>
  <c r="T13" i="5"/>
  <c r="T14" i="5"/>
  <c r="T15" i="5"/>
  <c r="F15" i="5"/>
  <c r="G15" i="5" s="1"/>
  <c r="S15" i="5" s="1"/>
  <c r="F14" i="5"/>
  <c r="G14" i="5" s="1"/>
  <c r="F13" i="5"/>
  <c r="G13" i="5" s="1"/>
  <c r="S13" i="5" s="1"/>
  <c r="F12" i="5"/>
  <c r="G12" i="5" s="1"/>
  <c r="S12" i="5" s="1"/>
  <c r="U12" i="5" s="1"/>
  <c r="N17" i="3" s="1"/>
  <c r="Y4" i="3" s="1"/>
  <c r="F11" i="5"/>
  <c r="G11" i="5" s="1"/>
  <c r="S11" i="5" s="1"/>
  <c r="U11" i="5" s="1"/>
  <c r="N16" i="3" s="1"/>
  <c r="Y3" i="3" s="1"/>
  <c r="R11" i="5" l="1"/>
  <c r="O10" i="3" s="1"/>
  <c r="W10" i="3" s="1"/>
  <c r="Q31" i="14"/>
  <c r="Q33" i="14" s="1"/>
  <c r="M4" i="12" s="1"/>
  <c r="R31" i="14"/>
  <c r="N14" i="12" s="1"/>
  <c r="U16" i="12" s="1"/>
  <c r="L20" i="14"/>
  <c r="L22" i="14" s="1"/>
  <c r="K8" i="12" s="1"/>
  <c r="L10" i="14"/>
  <c r="F47" i="5"/>
  <c r="U13" i="5"/>
  <c r="N18" i="3" s="1"/>
  <c r="Y5" i="3" s="1"/>
  <c r="C19" i="5"/>
  <c r="F19" i="5" s="1"/>
  <c r="S14" i="5"/>
  <c r="U14" i="5" s="1"/>
  <c r="N19" i="3" s="1"/>
  <c r="U15" i="5"/>
  <c r="N20" i="3" s="1"/>
  <c r="Q33" i="10"/>
  <c r="N5" i="9" s="1"/>
  <c r="R14" i="5"/>
  <c r="O13" i="3" s="1"/>
  <c r="W13" i="3" s="1"/>
  <c r="L5" i="9"/>
  <c r="R36" i="5"/>
  <c r="Q10" i="3" s="1"/>
  <c r="R37" i="5"/>
  <c r="Q11" i="3" s="1"/>
  <c r="R15" i="5"/>
  <c r="O14" i="3" s="1"/>
  <c r="W14" i="3" s="1"/>
  <c r="J36" i="5"/>
  <c r="Q36" i="5" s="1"/>
  <c r="T36" i="5"/>
  <c r="U36" i="5" s="1"/>
  <c r="P16" i="3" s="1"/>
  <c r="Z3" i="3" s="1"/>
  <c r="R13" i="5"/>
  <c r="O12" i="3" s="1"/>
  <c r="W12" i="3" s="1"/>
  <c r="J37" i="5"/>
  <c r="Q37" i="5" s="1"/>
  <c r="T37" i="5"/>
  <c r="U37" i="5" s="1"/>
  <c r="P17" i="3" s="1"/>
  <c r="Z4" i="3" s="1"/>
  <c r="K4" i="7"/>
  <c r="L20" i="10"/>
  <c r="L22" i="10" s="1"/>
  <c r="L9" i="9" s="1"/>
  <c r="L10" i="10"/>
  <c r="L14" i="10" s="1"/>
  <c r="L6" i="9" s="1"/>
  <c r="T8" i="9" s="1"/>
  <c r="N53" i="8"/>
  <c r="N55" i="8" s="1"/>
  <c r="M8" i="7" s="1"/>
  <c r="N28" i="8"/>
  <c r="N30" i="8" s="1"/>
  <c r="K8" i="7" s="1"/>
  <c r="N18" i="8"/>
  <c r="N22" i="8" s="1"/>
  <c r="K5" i="7" s="1"/>
  <c r="T7" i="7" s="1"/>
  <c r="N43" i="8"/>
  <c r="N47" i="8" s="1"/>
  <c r="M5" i="7" s="1"/>
  <c r="U7" i="7" s="1"/>
  <c r="J14" i="5"/>
  <c r="Q14" i="5" s="1"/>
  <c r="R39" i="5"/>
  <c r="Q13" i="3" s="1"/>
  <c r="J13" i="5"/>
  <c r="Q13" i="5" s="1"/>
  <c r="R38" i="5"/>
  <c r="Q12" i="3" s="1"/>
  <c r="J15" i="5"/>
  <c r="Q15" i="5" s="1"/>
  <c r="C20" i="5"/>
  <c r="F20" i="5" s="1"/>
  <c r="C29" i="5"/>
  <c r="F29" i="5" s="1"/>
  <c r="F31" i="5" s="1"/>
  <c r="L45" i="14" l="1"/>
  <c r="L47" i="14" s="1"/>
  <c r="M8" i="12" s="1"/>
  <c r="L35" i="14"/>
  <c r="L15" i="14"/>
  <c r="K6" i="12" s="1"/>
  <c r="T8" i="12" s="1"/>
  <c r="L14" i="14"/>
  <c r="K5" i="12" s="1"/>
  <c r="T7" i="12" s="1"/>
  <c r="F22" i="5"/>
  <c r="L45" i="10"/>
  <c r="L47" i="10" s="1"/>
  <c r="N9" i="9" s="1"/>
  <c r="L35" i="10"/>
  <c r="L40" i="10" s="1"/>
  <c r="N7" i="9" s="1"/>
  <c r="U9" i="9" s="1"/>
  <c r="J40" i="5"/>
  <c r="Q40" i="5" s="1"/>
  <c r="T40" i="5"/>
  <c r="U40" i="5" s="1"/>
  <c r="P20" i="3" s="1"/>
  <c r="R40" i="5"/>
  <c r="Q14" i="3" s="1"/>
  <c r="J38" i="5"/>
  <c r="Q38" i="5" s="1"/>
  <c r="T38" i="5"/>
  <c r="U38" i="5" s="1"/>
  <c r="P18" i="3" s="1"/>
  <c r="Z5" i="3" s="1"/>
  <c r="J39" i="5"/>
  <c r="Q39" i="5" s="1"/>
  <c r="T39" i="5"/>
  <c r="U39" i="5" s="1"/>
  <c r="P19" i="3" s="1"/>
  <c r="L15" i="10"/>
  <c r="L7" i="9" s="1"/>
  <c r="T9" i="9" s="1"/>
  <c r="N48" i="8"/>
  <c r="M6" i="7" s="1"/>
  <c r="U8" i="7" s="1"/>
  <c r="N23" i="8"/>
  <c r="K6" i="7" s="1"/>
  <c r="T8" i="7" s="1"/>
  <c r="Q17" i="5"/>
  <c r="L29" i="5" s="1"/>
  <c r="L39" i="14" l="1"/>
  <c r="M5" i="12" s="1"/>
  <c r="U7" i="12" s="1"/>
  <c r="L40" i="14"/>
  <c r="M6" i="12" s="1"/>
  <c r="U8" i="12" s="1"/>
  <c r="L19" i="5"/>
  <c r="L24" i="5" s="1"/>
  <c r="N6" i="3" s="1"/>
  <c r="Y7" i="3" s="1"/>
  <c r="L39" i="10"/>
  <c r="N6" i="9" s="1"/>
  <c r="U8" i="9" s="1"/>
  <c r="Q42" i="5"/>
  <c r="N4" i="3"/>
  <c r="L31" i="5"/>
  <c r="N8" i="3" s="1"/>
  <c r="L54" i="5" l="1"/>
  <c r="L56" i="5" s="1"/>
  <c r="P8" i="3" s="1"/>
  <c r="L44" i="5"/>
  <c r="L48" i="5" s="1"/>
  <c r="P5" i="3" s="1"/>
  <c r="Z6" i="3" s="1"/>
  <c r="P4" i="3"/>
  <c r="L23" i="5"/>
  <c r="N5" i="3" s="1"/>
  <c r="Y6" i="3" s="1"/>
  <c r="L49" i="5" l="1"/>
  <c r="P6" i="3" s="1"/>
  <c r="Z7" i="3" s="1"/>
</calcChain>
</file>

<file path=xl/sharedStrings.xml><?xml version="1.0" encoding="utf-8"?>
<sst xmlns="http://schemas.openxmlformats.org/spreadsheetml/2006/main" count="681" uniqueCount="87">
  <si>
    <t>Paramètres à définir</t>
  </si>
  <si>
    <t>Q1</t>
  </si>
  <si>
    <t>Q2</t>
  </si>
  <si>
    <t>Q3</t>
  </si>
  <si>
    <t>Q4</t>
  </si>
  <si>
    <t>Q5</t>
  </si>
  <si>
    <t xml:space="preserve">Pourcentage de métier pénible : </t>
  </si>
  <si>
    <t>Salaire moyen</t>
  </si>
  <si>
    <t>Quintile</t>
  </si>
  <si>
    <t>espérance de vie</t>
  </si>
  <si>
    <t>entrée marché du travail</t>
  </si>
  <si>
    <t>sortie marché du travail</t>
  </si>
  <si>
    <t>années en pension</t>
  </si>
  <si>
    <t>années compensées</t>
  </si>
  <si>
    <t>Coût annuel (% du salaire)</t>
  </si>
  <si>
    <t>Coût unitaire</t>
  </si>
  <si>
    <t>Taux de remplacement</t>
  </si>
  <si>
    <t>Nombre de personne par quintile</t>
  </si>
  <si>
    <t>Taux de remplacement arrondi</t>
  </si>
  <si>
    <t>Pourcentage de métiers pénibles</t>
  </si>
  <si>
    <t>Coût par quintile</t>
  </si>
  <si>
    <t>Total</t>
  </si>
  <si>
    <t>OUTPUT</t>
  </si>
  <si>
    <t>Taxe Q4</t>
  </si>
  <si>
    <t>Taxe Q5</t>
  </si>
  <si>
    <t>Personne dans le quintile</t>
  </si>
  <si>
    <t>Partie du salaire annuel taxable</t>
  </si>
  <si>
    <t>Taxe à appliquer sur la somme taxable</t>
  </si>
  <si>
    <t>Pension moyenne</t>
  </si>
  <si>
    <t>Taux de mortalité précoce</t>
  </si>
  <si>
    <t>"Montant disponible" en €</t>
  </si>
  <si>
    <t>Espérance de vie à la naissance:</t>
  </si>
  <si>
    <t>Taxe Q4 (en %)</t>
  </si>
  <si>
    <t>Taxe Q5 (en %):</t>
  </si>
  <si>
    <t xml:space="preserve">Hypothèses: </t>
  </si>
  <si>
    <t>Quintile 1</t>
  </si>
  <si>
    <t>Quintile 2</t>
  </si>
  <si>
    <t>Quintile 3</t>
  </si>
  <si>
    <t>Quintile 4</t>
  </si>
  <si>
    <t>Quintile 5</t>
  </si>
  <si>
    <t>Taux de mortalité précoce à 65 ans (en %)</t>
  </si>
  <si>
    <t>Nombre d'années d'anticipation pénibilité accordée :</t>
  </si>
  <si>
    <t>A) Si Q4 et Q5</t>
  </si>
  <si>
    <t>B) Si uniquement Q5</t>
  </si>
  <si>
    <t>Si Q4 et Q5 financent:</t>
  </si>
  <si>
    <t>Si uniquement le Q5 finance:</t>
  </si>
  <si>
    <t>A) Q4 et Q5 financent</t>
  </si>
  <si>
    <t>B) Q5 finance</t>
  </si>
  <si>
    <t>Taux d’anticipation âge normal pension (en %):</t>
  </si>
  <si>
    <t>taux d’anticipation âge normal pension (en %)</t>
  </si>
  <si>
    <t xml:space="preserve">Hypothèses : </t>
  </si>
  <si>
    <t>Espérance de vie suit les estimations utilisées dans l'article</t>
  </si>
  <si>
    <t>S1</t>
  </si>
  <si>
    <t>S2</t>
  </si>
  <si>
    <t>Coût annuel en millions €</t>
  </si>
  <si>
    <t>age de sortie moyen après compensation</t>
  </si>
  <si>
    <t>Coût de la pension avant reforme</t>
  </si>
  <si>
    <t>Bénéfice de la personne à qui la pénibilité est accordée</t>
  </si>
  <si>
    <t>% de gain de pension wealth</t>
  </si>
  <si>
    <t>% Pension wealth supplémentaire pour les personnes compensées</t>
  </si>
  <si>
    <t>Âge de départ à la pension moyen avant versus après compensation</t>
  </si>
  <si>
    <t>S0</t>
  </si>
  <si>
    <t>S1:Valeur à insérer</t>
  </si>
  <si>
    <t>S2: Valeur à insérer</t>
  </si>
  <si>
    <t>Pénibilité</t>
  </si>
  <si>
    <t>Référence S0 (Paper)</t>
  </si>
  <si>
    <t>Années compensées suivent le scénario de l'article</t>
  </si>
  <si>
    <t>Pourcentages de métiers pénibles suivent  le scénario de l'article</t>
  </si>
  <si>
    <t>Taux de mortalité précoce suit les estimations d'Eggerickx</t>
  </si>
  <si>
    <t>S0 uniforme</t>
  </si>
  <si>
    <t>S0 inégale</t>
  </si>
  <si>
    <t xml:space="preserve">Longévité </t>
  </si>
  <si>
    <t>Anticipation</t>
  </si>
  <si>
    <t>Taux d'anticipation à 0 comme dans l'article</t>
  </si>
  <si>
    <t>% Pension supplémentaire pour les personnes compensées ainsi que la taxe nécessaire sur Q4 et Q5</t>
  </si>
  <si>
    <t>L'anticipation est fixée à 0 comme dans l'article</t>
  </si>
  <si>
    <t>Les quartiles 4 et 5 sont supposés ne pas avoir de métier pénible</t>
  </si>
  <si>
    <t>Âge moyen de départ en pension par quintile</t>
  </si>
  <si>
    <t>Sans compensation</t>
  </si>
  <si>
    <t>Laurent Collot et Jean Hindriks</t>
  </si>
  <si>
    <t>Simulateur Pension et Pénibilité</t>
  </si>
  <si>
    <t>Mixte</t>
  </si>
  <si>
    <r>
      <rPr>
        <b/>
        <sz val="10"/>
        <color theme="5"/>
        <rFont val="Calibri"/>
        <family val="2"/>
        <scheme val="minor"/>
      </rPr>
      <t xml:space="preserve">Onglet Pénibilité </t>
    </r>
    <r>
      <rPr>
        <sz val="10"/>
        <color theme="1"/>
        <rFont val="Calibri"/>
        <family val="2"/>
        <scheme val="minor"/>
      </rPr>
      <t>: choix des taux de pénibilité et années d'anticipation par quintile pour S1 et S2 (avec baseline S0 fixe)</t>
    </r>
  </si>
  <si>
    <r>
      <rPr>
        <b/>
        <sz val="10"/>
        <color rgb="FF92D050"/>
        <rFont val="Calibri"/>
        <family val="2"/>
        <scheme val="minor"/>
      </rPr>
      <t xml:space="preserve">Onglet Longévité </t>
    </r>
    <r>
      <rPr>
        <sz val="10"/>
        <color theme="1"/>
        <rFont val="Calibri"/>
        <family val="2"/>
        <scheme val="minor"/>
      </rPr>
      <t>: choix des longévités et taux mortalité avant 65 ans par quintile pour S1 et S2 (avec baseline S0 fixe)</t>
    </r>
  </si>
  <si>
    <r>
      <rPr>
        <b/>
        <sz val="10"/>
        <color rgb="FF7030A0"/>
        <rFont val="Calibri"/>
        <family val="2"/>
        <scheme val="minor"/>
      </rPr>
      <t xml:space="preserve">Onglet Anticipation </t>
    </r>
    <r>
      <rPr>
        <sz val="10"/>
        <color theme="1"/>
        <rFont val="Calibri"/>
        <family val="2"/>
        <scheme val="minor"/>
      </rPr>
      <t xml:space="preserve">: choix des taux pension anticipée par quintile pour S1 et S2 (avec baseline S0 fixe) </t>
    </r>
  </si>
  <si>
    <r>
      <rPr>
        <b/>
        <sz val="10"/>
        <color rgb="FF0070C0"/>
        <rFont val="Calibri"/>
        <family val="2"/>
        <scheme val="minor"/>
      </rPr>
      <t xml:space="preserve">Onglet Mixte </t>
    </r>
    <r>
      <rPr>
        <sz val="10"/>
        <color theme="1"/>
        <rFont val="Calibri"/>
        <family val="2"/>
        <scheme val="minor"/>
      </rPr>
      <t>: onglet de synthèse des différents choix des paramètres S1 et S2 des autres onglets (avec baseline S0 fixe)</t>
    </r>
  </si>
  <si>
    <t>Version 19 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</si>
</sst>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0.000%"/>
    <numFmt numFmtId="166" formatCode="0.0000E+00"/>
    <numFmt numFmtId="167" formatCode="0.00000%"/>
    <numFmt numFmtId="168" formatCode="_-* #,##0.0000_-;\-* #,##0.0000_-;_-* &quot;-&quot;??_-;_-@_-"/>
    <numFmt numFmtId="169" formatCode="0.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rgb="FF59595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92D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 wrapText="1"/>
    </xf>
    <xf numFmtId="10" fontId="0" fillId="0" borderId="0" xfId="2" applyNumberFormat="1" applyFont="1"/>
    <xf numFmtId="9" fontId="0" fillId="0" borderId="0" xfId="2" applyFont="1"/>
    <xf numFmtId="0" fontId="0" fillId="0" borderId="0" xfId="0" applyAlignment="1">
      <alignment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43" fontId="0" fillId="0" borderId="0" xfId="1" applyFont="1"/>
    <xf numFmtId="0" fontId="0" fillId="0" borderId="0" xfId="0" applyAlignment="1">
      <alignment vertical="center"/>
    </xf>
    <xf numFmtId="9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9" fontId="0" fillId="2" borderId="0" xfId="2" applyFont="1" applyFill="1"/>
    <xf numFmtId="0" fontId="0" fillId="3" borderId="0" xfId="0" applyFill="1"/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0" fontId="0" fillId="0" borderId="4" xfId="0" applyBorder="1"/>
    <xf numFmtId="0" fontId="2" fillId="5" borderId="9" xfId="0" applyFont="1" applyFill="1" applyBorder="1"/>
    <xf numFmtId="0" fontId="0" fillId="0" borderId="9" xfId="0" applyBorder="1"/>
    <xf numFmtId="0" fontId="0" fillId="3" borderId="9" xfId="0" applyFill="1" applyBorder="1"/>
    <xf numFmtId="9" fontId="0" fillId="3" borderId="10" xfId="2" applyFont="1" applyFill="1" applyBorder="1"/>
    <xf numFmtId="0" fontId="0" fillId="0" borderId="0" xfId="2" applyNumberFormat="1" applyFont="1"/>
    <xf numFmtId="10" fontId="0" fillId="0" borderId="10" xfId="2" applyNumberFormat="1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9" borderId="7" xfId="0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0" borderId="5" xfId="0" applyNumberFormat="1" applyBorder="1"/>
    <xf numFmtId="0" fontId="0" fillId="0" borderId="10" xfId="0" applyBorder="1" applyProtection="1">
      <protection locked="0"/>
    </xf>
    <xf numFmtId="0" fontId="2" fillId="5" borderId="10" xfId="0" applyFont="1" applyFill="1" applyBorder="1" applyAlignment="1">
      <alignment horizontal="center"/>
    </xf>
    <xf numFmtId="0" fontId="0" fillId="3" borderId="10" xfId="0" applyFill="1" applyBorder="1"/>
    <xf numFmtId="0" fontId="0" fillId="3" borderId="4" xfId="0" applyFill="1" applyBorder="1"/>
    <xf numFmtId="0" fontId="0" fillId="9" borderId="0" xfId="0" applyFill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13" xfId="0" applyBorder="1"/>
    <xf numFmtId="0" fontId="0" fillId="0" borderId="0" xfId="0" applyProtection="1">
      <protection locked="0"/>
    </xf>
    <xf numFmtId="0" fontId="2" fillId="0" borderId="0" xfId="0" applyFont="1"/>
    <xf numFmtId="10" fontId="0" fillId="0" borderId="0" xfId="2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43" fontId="0" fillId="0" borderId="0" xfId="1" applyFont="1" applyBorder="1" applyAlignment="1"/>
    <xf numFmtId="10" fontId="0" fillId="0" borderId="0" xfId="2" applyNumberFormat="1" applyFont="1" applyFill="1" applyProtection="1">
      <protection locked="0"/>
    </xf>
    <xf numFmtId="0" fontId="0" fillId="3" borderId="11" xfId="0" applyFill="1" applyBorder="1"/>
    <xf numFmtId="0" fontId="0" fillId="0" borderId="11" xfId="0" applyBorder="1"/>
    <xf numFmtId="0" fontId="4" fillId="0" borderId="0" xfId="0" applyFont="1"/>
    <xf numFmtId="9" fontId="0" fillId="0" borderId="11" xfId="2" applyFont="1" applyBorder="1"/>
    <xf numFmtId="43" fontId="0" fillId="0" borderId="0" xfId="0" applyNumberFormat="1"/>
    <xf numFmtId="0" fontId="0" fillId="0" borderId="10" xfId="0" applyBorder="1"/>
    <xf numFmtId="165" fontId="0" fillId="2" borderId="0" xfId="2" applyNumberFormat="1" applyFont="1" applyFill="1"/>
    <xf numFmtId="165" fontId="0" fillId="0" borderId="0" xfId="2" applyNumberFormat="1" applyFont="1"/>
    <xf numFmtId="165" fontId="0" fillId="0" borderId="0" xfId="0" applyNumberFormat="1"/>
    <xf numFmtId="165" fontId="0" fillId="0" borderId="0" xfId="2" applyNumberFormat="1" applyFont="1" applyFill="1"/>
    <xf numFmtId="166" fontId="0" fillId="0" borderId="0" xfId="0" applyNumberFormat="1"/>
    <xf numFmtId="167" fontId="0" fillId="2" borderId="0" xfId="2" applyNumberFormat="1" applyFont="1" applyFill="1"/>
    <xf numFmtId="165" fontId="0" fillId="0" borderId="10" xfId="0" applyNumberFormat="1" applyBorder="1" applyProtection="1">
      <protection locked="0"/>
    </xf>
    <xf numFmtId="0" fontId="0" fillId="0" borderId="0" xfId="0" applyAlignment="1">
      <alignment horizontal="right"/>
    </xf>
    <xf numFmtId="165" fontId="0" fillId="0" borderId="10" xfId="0" applyNumberFormat="1" applyBorder="1"/>
    <xf numFmtId="165" fontId="0" fillId="0" borderId="12" xfId="0" applyNumberFormat="1" applyBorder="1"/>
    <xf numFmtId="10" fontId="0" fillId="0" borderId="0" xfId="2" applyNumberFormat="1" applyFont="1" applyFill="1" applyProtection="1"/>
    <xf numFmtId="10" fontId="0" fillId="0" borderId="0" xfId="2" applyNumberFormat="1" applyFont="1" applyFill="1" applyBorder="1" applyProtection="1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10" fontId="5" fillId="10" borderId="0" xfId="0" applyNumberFormat="1" applyFont="1" applyFill="1"/>
    <xf numFmtId="0" fontId="7" fillId="0" borderId="0" xfId="0" applyFont="1" applyAlignment="1">
      <alignment horizontal="center" vertical="center" readingOrder="1"/>
    </xf>
    <xf numFmtId="10" fontId="0" fillId="0" borderId="0" xfId="1" applyNumberFormat="1" applyFont="1" applyFill="1" applyBorder="1" applyAlignment="1"/>
    <xf numFmtId="10" fontId="5" fillId="10" borderId="0" xfId="1" applyNumberFormat="1" applyFont="1" applyFill="1" applyBorder="1" applyAlignment="1"/>
    <xf numFmtId="10" fontId="0" fillId="0" borderId="10" xfId="2" applyNumberFormat="1" applyFont="1" applyBorder="1" applyProtection="1"/>
    <xf numFmtId="0" fontId="0" fillId="0" borderId="12" xfId="0" applyBorder="1"/>
    <xf numFmtId="0" fontId="8" fillId="0" borderId="0" xfId="0" applyFont="1"/>
    <xf numFmtId="0" fontId="5" fillId="0" borderId="0" xfId="0" applyFont="1"/>
    <xf numFmtId="168" fontId="5" fillId="10" borderId="0" xfId="1" applyNumberFormat="1" applyFont="1" applyFill="1" applyBorder="1" applyAlignment="1"/>
    <xf numFmtId="10" fontId="5" fillId="0" borderId="0" xfId="1" applyNumberFormat="1" applyFont="1" applyFill="1" applyBorder="1" applyAlignment="1"/>
    <xf numFmtId="2" fontId="5" fillId="0" borderId="0" xfId="0" applyNumberFormat="1" applyFont="1"/>
    <xf numFmtId="10" fontId="5" fillId="0" borderId="0" xfId="0" applyNumberFormat="1" applyFont="1"/>
    <xf numFmtId="0" fontId="3" fillId="10" borderId="0" xfId="0" applyFont="1" applyFill="1"/>
    <xf numFmtId="43" fontId="0" fillId="0" borderId="0" xfId="1" applyFont="1" applyFill="1" applyBorder="1" applyAlignment="1"/>
    <xf numFmtId="0" fontId="0" fillId="10" borderId="0" xfId="0" applyFill="1"/>
    <xf numFmtId="0" fontId="0" fillId="10" borderId="4" xfId="0" applyFill="1" applyBorder="1"/>
    <xf numFmtId="0" fontId="0" fillId="10" borderId="5" xfId="0" applyFill="1" applyBorder="1"/>
    <xf numFmtId="0" fontId="2" fillId="0" borderId="9" xfId="0" applyFont="1" applyBorder="1"/>
    <xf numFmtId="10" fontId="0" fillId="2" borderId="0" xfId="0" applyNumberFormat="1" applyFill="1"/>
    <xf numFmtId="0" fontId="8" fillId="10" borderId="0" xfId="0" applyFont="1" applyFill="1"/>
    <xf numFmtId="9" fontId="0" fillId="0" borderId="10" xfId="2" applyFont="1" applyBorder="1"/>
    <xf numFmtId="169" fontId="0" fillId="0" borderId="10" xfId="2" applyNumberFormat="1" applyFont="1" applyBorder="1"/>
    <xf numFmtId="2" fontId="5" fillId="10" borderId="0" xfId="0" applyNumberFormat="1" applyFont="1" applyFill="1"/>
    <xf numFmtId="0" fontId="0" fillId="10" borderId="0" xfId="0" applyFill="1" applyAlignment="1">
      <alignment wrapText="1"/>
    </xf>
    <xf numFmtId="9" fontId="0" fillId="3" borderId="10" xfId="2" applyFont="1" applyFill="1" applyBorder="1" applyProtection="1"/>
    <xf numFmtId="169" fontId="0" fillId="0" borderId="10" xfId="2" applyNumberFormat="1" applyFont="1" applyBorder="1" applyProtection="1"/>
    <xf numFmtId="9" fontId="0" fillId="0" borderId="10" xfId="2" applyFont="1" applyBorder="1" applyProtection="1"/>
    <xf numFmtId="0" fontId="12" fillId="10" borderId="0" xfId="0" applyFont="1" applyFill="1"/>
    <xf numFmtId="0" fontId="9" fillId="10" borderId="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12" fillId="10" borderId="0" xfId="0" applyFont="1" applyFill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4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0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6" fillId="8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11" borderId="0" xfId="0" applyFont="1" applyFill="1" applyAlignment="1">
      <alignment horizontal="center"/>
    </xf>
    <xf numFmtId="0" fontId="0" fillId="10" borderId="0" xfId="0" applyFill="1" applyAlignment="1">
      <alignment horizontal="center" wrapText="1"/>
    </xf>
  </cellXfs>
  <cellStyles count="3">
    <cellStyle name="Milliers" xfId="1" builtinId="3"/>
    <cellStyle name="Normal" xfId="0" builtinId="0"/>
    <cellStyle name="Pourcentage" xfId="2" builtinId="5"/>
  </cellStyles>
  <dxfs count="3">
    <dxf>
      <numFmt numFmtId="13" formatCode="0%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Pénibilité!$S$3</c:f>
              <c:strCache>
                <c:ptCount val="1"/>
                <c:pt idx="0">
                  <c:v>S0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Pénibilité!$R$4:$R$8</c:f>
              <c:strCache>
                <c:ptCount val="5"/>
                <c:pt idx="0">
                  <c:v> Q1 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Pénibilité!$S$4:$S$8</c:f>
              <c:numCache>
                <c:formatCode>0.00%</c:formatCode>
                <c:ptCount val="5"/>
                <c:pt idx="0">
                  <c:v>0.16853932584269657</c:v>
                </c:pt>
                <c:pt idx="1">
                  <c:v>0.10256410256410253</c:v>
                </c:pt>
                <c:pt idx="2">
                  <c:v>4.8239266763145189E-2</c:v>
                </c:pt>
                <c:pt idx="3">
                  <c:v>-9.9913041612669697E-3</c:v>
                </c:pt>
                <c:pt idx="4">
                  <c:v>-4.688663527802122E-2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E-4863-9FE9-396637E98F05}"/>
            </c:ext>
          </c:extLst>
        </c:ser>
        <c:ser>
          <c:idx val="1"/>
          <c:order val="1"/>
          <c:tx>
            <c:strRef>
              <c:f>Pénibilité!$T$3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Pénibilité!$R$4:$R$8</c:f>
              <c:strCache>
                <c:ptCount val="5"/>
                <c:pt idx="0">
                  <c:v> Q1 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Pénibilité!$T$4:$T$8</c:f>
              <c:numCache>
                <c:formatCode>0.00%</c:formatCode>
                <c:ptCount val="5"/>
                <c:pt idx="0">
                  <c:v>0.22471910112359542</c:v>
                </c:pt>
                <c:pt idx="1">
                  <c:v>0.15384615384615383</c:v>
                </c:pt>
                <c:pt idx="2">
                  <c:v>9.6478533526290378E-2</c:v>
                </c:pt>
                <c:pt idx="3">
                  <c:v>-2.0142323642865115E-2</c:v>
                </c:pt>
                <c:pt idx="4">
                  <c:v>-9.4522773709165397E-2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E-4863-9FE9-396637E98F05}"/>
            </c:ext>
          </c:extLst>
        </c:ser>
        <c:ser>
          <c:idx val="2"/>
          <c:order val="2"/>
          <c:tx>
            <c:strRef>
              <c:f>Pénibilité!$U$3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Pénibilité!$R$4:$R$8</c:f>
              <c:strCache>
                <c:ptCount val="5"/>
                <c:pt idx="0">
                  <c:v> Q1 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Pénibilité!$U$4:$U$8</c:f>
              <c:numCache>
                <c:formatCode>0.00%</c:formatCode>
                <c:ptCount val="5"/>
                <c:pt idx="0">
                  <c:v>0.28089887640449435</c:v>
                </c:pt>
                <c:pt idx="1">
                  <c:v>0.20512820512820507</c:v>
                </c:pt>
                <c:pt idx="2">
                  <c:v>0.14471780028943557</c:v>
                </c:pt>
                <c:pt idx="3">
                  <c:v>-3.4235890636911959E-2</c:v>
                </c:pt>
                <c:pt idx="4">
                  <c:v>-0.16066027935912233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E-4863-9FE9-396637E98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501760"/>
        <c:axId val="37749431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Pénibilité!$V$3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Pénibilité!$V$4:$V$8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9FE-4863-9FE9-396637E98F0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Pénibilité!$W$3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Pénibilité!$W$4:$W$8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9FE-4863-9FE9-396637E98F0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Pénibilité!$X$3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Pénibilité!$X$4:$X$8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9FE-4863-9FE9-396637E98F05}"/>
                  </c:ext>
                </c:extLst>
              </c15:ser>
            </c15:filteredBarSeries>
          </c:ext>
        </c:extLst>
      </c:barChart>
      <c:catAx>
        <c:axId val="37750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494312"/>
        <c:crosses val="autoZero"/>
        <c:auto val="1"/>
        <c:lblAlgn val="ctr"/>
        <c:lblOffset val="100"/>
        <c:noMultiLvlLbl val="0"/>
      </c:catAx>
      <c:valAx>
        <c:axId val="37749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0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Pénibilité!$R$11</c:f>
              <c:strCache>
                <c:ptCount val="1"/>
                <c:pt idx="0">
                  <c:v>Sans compensation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Pénibilité!$Q$12:$Q$16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Pénibilité!$R$12:$R$16</c:f>
              <c:numCache>
                <c:formatCode>0.00</c:formatCode>
                <c:ptCount val="5"/>
                <c:pt idx="0">
                  <c:v>63.6</c:v>
                </c:pt>
                <c:pt idx="1">
                  <c:v>63.9</c:v>
                </c:pt>
                <c:pt idx="2">
                  <c:v>64.67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4-458A-8042-5EFFD0DD1DE5}"/>
            </c:ext>
          </c:extLst>
        </c:ser>
        <c:ser>
          <c:idx val="1"/>
          <c:order val="1"/>
          <c:tx>
            <c:strRef>
              <c:f>Pénibilité!$S$11</c:f>
              <c:strCache>
                <c:ptCount val="1"/>
                <c:pt idx="0">
                  <c:v>S0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Pénibilité!$Q$12:$Q$16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Pénibilité!$S$12:$S$16</c:f>
              <c:numCache>
                <c:formatCode>0.00</c:formatCode>
                <c:ptCount val="5"/>
                <c:pt idx="0">
                  <c:v>62.7</c:v>
                </c:pt>
                <c:pt idx="1">
                  <c:v>63.6</c:v>
                </c:pt>
                <c:pt idx="2">
                  <c:v>64.594999999999999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4-458A-8042-5EFFD0DD1DE5}"/>
            </c:ext>
          </c:extLst>
        </c:ser>
        <c:ser>
          <c:idx val="2"/>
          <c:order val="2"/>
          <c:tx>
            <c:strRef>
              <c:f>Pénibilité!$T$11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Pénibilité!$Q$12:$Q$16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Pénibilité!$T$12:$T$16</c:f>
              <c:numCache>
                <c:formatCode>0.00</c:formatCode>
                <c:ptCount val="5"/>
                <c:pt idx="0">
                  <c:v>62</c:v>
                </c:pt>
                <c:pt idx="1">
                  <c:v>63.3</c:v>
                </c:pt>
                <c:pt idx="2">
                  <c:v>64.37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4-458A-8042-5EFFD0DD1DE5}"/>
            </c:ext>
          </c:extLst>
        </c:ser>
        <c:ser>
          <c:idx val="3"/>
          <c:order val="3"/>
          <c:tx>
            <c:strRef>
              <c:f>Pénibilité!$U$11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Pénibilité!$Q$12:$Q$16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Pénibilité!$U$12:$U$16</c:f>
              <c:numCache>
                <c:formatCode>0.00</c:formatCode>
                <c:ptCount val="5"/>
                <c:pt idx="0">
                  <c:v>61.1</c:v>
                </c:pt>
                <c:pt idx="1">
                  <c:v>62.9</c:v>
                </c:pt>
                <c:pt idx="2">
                  <c:v>63.995000000000005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64-458A-8042-5EFFD0DD1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500976"/>
        <c:axId val="377499408"/>
      </c:barChart>
      <c:catAx>
        <c:axId val="37750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499408"/>
        <c:crosses val="autoZero"/>
        <c:auto val="1"/>
        <c:lblAlgn val="ctr"/>
        <c:lblOffset val="100"/>
        <c:noMultiLvlLbl val="0"/>
      </c:catAx>
      <c:valAx>
        <c:axId val="37749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0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Longévité!$W$2</c:f>
              <c:strCache>
                <c:ptCount val="1"/>
                <c:pt idx="0">
                  <c:v>S0 uniforme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Longévité!$V$3:$V$7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Longévité!$W$3:$W$7</c:f>
              <c:numCache>
                <c:formatCode>0.00%</c:formatCode>
                <c:ptCount val="5"/>
                <c:pt idx="0">
                  <c:v>0.13761467889908252</c:v>
                </c:pt>
                <c:pt idx="1">
                  <c:v>9.3023255813953445E-2</c:v>
                </c:pt>
                <c:pt idx="2">
                  <c:v>4.8239266763145189E-2</c:v>
                </c:pt>
                <c:pt idx="3">
                  <c:v>-1.3952507511501832E-2</c:v>
                </c:pt>
                <c:pt idx="4">
                  <c:v>-6.5475549572567737E-2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D-4D0B-925F-A47A8198388F}"/>
            </c:ext>
          </c:extLst>
        </c:ser>
        <c:ser>
          <c:idx val="1"/>
          <c:order val="1"/>
          <c:tx>
            <c:strRef>
              <c:f>Longévité!$X$2</c:f>
              <c:strCache>
                <c:ptCount val="1"/>
                <c:pt idx="0">
                  <c:v>S0 inégale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Longévité!$V$3:$V$7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Longévité!$X$3:$X$7</c:f>
              <c:numCache>
                <c:formatCode>0.00%</c:formatCode>
                <c:ptCount val="5"/>
                <c:pt idx="0">
                  <c:v>0.16853932584269657</c:v>
                </c:pt>
                <c:pt idx="1">
                  <c:v>0.10256410256410253</c:v>
                </c:pt>
                <c:pt idx="2">
                  <c:v>4.8239266763145189E-2</c:v>
                </c:pt>
                <c:pt idx="3">
                  <c:v>-9.9913041612669697E-3</c:v>
                </c:pt>
                <c:pt idx="4">
                  <c:v>-4.688663527802122E-2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D-4D0B-925F-A47A8198388F}"/>
            </c:ext>
          </c:extLst>
        </c:ser>
        <c:ser>
          <c:idx val="2"/>
          <c:order val="2"/>
          <c:tx>
            <c:strRef>
              <c:f>Longévité!$Y$2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Longévité!$V$3:$V$7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Longévité!$Y$3:$Y$7</c:f>
              <c:numCache>
                <c:formatCode>0.00%</c:formatCode>
                <c:ptCount val="5"/>
                <c:pt idx="0">
                  <c:v>0.18292682926829271</c:v>
                </c:pt>
                <c:pt idx="1">
                  <c:v>0.11049723756906076</c:v>
                </c:pt>
                <c:pt idx="2">
                  <c:v>4.9188391539596657E-2</c:v>
                </c:pt>
                <c:pt idx="3">
                  <c:v>-8.7022203711342814E-3</c:v>
                </c:pt>
                <c:pt idx="4">
                  <c:v>-4.0837294717950001E-2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D-4D0B-925F-A47A8198388F}"/>
            </c:ext>
          </c:extLst>
        </c:ser>
        <c:ser>
          <c:idx val="3"/>
          <c:order val="3"/>
          <c:tx>
            <c:strRef>
              <c:f>Longévité!$Z$2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Longévité!$V$3:$V$7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Longévité!$Z$3:$Z$7</c:f>
              <c:numCache>
                <c:formatCode>0.00%</c:formatCode>
                <c:ptCount val="5"/>
                <c:pt idx="0">
                  <c:v>0.19480519480519479</c:v>
                </c:pt>
                <c:pt idx="1">
                  <c:v>0.11695906432748537</c:v>
                </c:pt>
                <c:pt idx="2">
                  <c:v>4.9188391539596657E-2</c:v>
                </c:pt>
                <c:pt idx="3">
                  <c:v>-1.0325857454952229E-2</c:v>
                </c:pt>
                <c:pt idx="4">
                  <c:v>-4.8456608327474684E-2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1D-4D0B-925F-A47A81983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490784"/>
        <c:axId val="377502152"/>
      </c:barChart>
      <c:catAx>
        <c:axId val="3774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02152"/>
        <c:crosses val="autoZero"/>
        <c:auto val="1"/>
        <c:lblAlgn val="ctr"/>
        <c:lblOffset val="100"/>
        <c:noMultiLvlLbl val="0"/>
      </c:catAx>
      <c:valAx>
        <c:axId val="37750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49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Anticipation!$S$4</c:f>
              <c:strCache>
                <c:ptCount val="1"/>
                <c:pt idx="0">
                  <c:v>S0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Anticipation!$R$5:$R$9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Anticipation!$S$5:$S$9</c:f>
              <c:numCache>
                <c:formatCode>0.00%</c:formatCode>
                <c:ptCount val="5"/>
                <c:pt idx="0">
                  <c:v>0.16853932584269657</c:v>
                </c:pt>
                <c:pt idx="1">
                  <c:v>0.10256410256410253</c:v>
                </c:pt>
                <c:pt idx="2">
                  <c:v>4.8239266763145189E-2</c:v>
                </c:pt>
                <c:pt idx="3">
                  <c:v>-9.9913041612669697E-3</c:v>
                </c:pt>
                <c:pt idx="4">
                  <c:v>-4.688663527802122E-2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B-422F-AFE7-F2C6A29F08A4}"/>
            </c:ext>
          </c:extLst>
        </c:ser>
        <c:ser>
          <c:idx val="1"/>
          <c:order val="1"/>
          <c:tx>
            <c:strRef>
              <c:f>Anticipation!$T$4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Anticipation!$R$5:$R$9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Anticipation!$T$5:$T$9</c:f>
              <c:numCache>
                <c:formatCode>0.00%</c:formatCode>
                <c:ptCount val="5"/>
                <c:pt idx="0">
                  <c:v>0.16853932584269657</c:v>
                </c:pt>
                <c:pt idx="1">
                  <c:v>0.10256410256410253</c:v>
                </c:pt>
                <c:pt idx="2">
                  <c:v>4.8239266763145189E-2</c:v>
                </c:pt>
                <c:pt idx="3">
                  <c:v>-5.976594623516498E-3</c:v>
                </c:pt>
                <c:pt idx="4">
                  <c:v>-2.804663012900073E-2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B-422F-AFE7-F2C6A29F08A4}"/>
            </c:ext>
          </c:extLst>
        </c:ser>
        <c:ser>
          <c:idx val="2"/>
          <c:order val="2"/>
          <c:tx>
            <c:strRef>
              <c:f>Anticipation!$U$4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Anticipation!$R$5:$R$9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Anticipation!$U$5:$U$9</c:f>
              <c:numCache>
                <c:formatCode>0.00%</c:formatCode>
                <c:ptCount val="5"/>
                <c:pt idx="0">
                  <c:v>0.16853932584269657</c:v>
                </c:pt>
                <c:pt idx="1">
                  <c:v>0.10256410256410253</c:v>
                </c:pt>
                <c:pt idx="2">
                  <c:v>4.8239266763145189E-2</c:v>
                </c:pt>
                <c:pt idx="3">
                  <c:v>-4.3707108084163103E-3</c:v>
                </c:pt>
                <c:pt idx="4">
                  <c:v>-2.0510628069392543E-2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B-422F-AFE7-F2C6A29F0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508424"/>
        <c:axId val="377506464"/>
      </c:barChart>
      <c:catAx>
        <c:axId val="37750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06464"/>
        <c:crosses val="autoZero"/>
        <c:auto val="1"/>
        <c:lblAlgn val="ctr"/>
        <c:lblOffset val="100"/>
        <c:noMultiLvlLbl val="0"/>
      </c:catAx>
      <c:valAx>
        <c:axId val="37750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08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Mixte!$S$3</c:f>
              <c:strCache>
                <c:ptCount val="1"/>
                <c:pt idx="0">
                  <c:v>S0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Mixte!$R$4:$R$8</c:f>
              <c:strCache>
                <c:ptCount val="5"/>
                <c:pt idx="0">
                  <c:v> Q1 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Mixte!$S$4:$S$8</c:f>
              <c:numCache>
                <c:formatCode>0.00%</c:formatCode>
                <c:ptCount val="5"/>
                <c:pt idx="0">
                  <c:v>0.16853932584269657</c:v>
                </c:pt>
                <c:pt idx="1">
                  <c:v>0.10256410256410253</c:v>
                </c:pt>
                <c:pt idx="2">
                  <c:v>4.8239266763145189E-2</c:v>
                </c:pt>
                <c:pt idx="3">
                  <c:v>-9.9913041612669697E-3</c:v>
                </c:pt>
                <c:pt idx="4">
                  <c:v>-4.688663527802122E-2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6-49E2-85DB-A2964468C597}"/>
            </c:ext>
          </c:extLst>
        </c:ser>
        <c:ser>
          <c:idx val="1"/>
          <c:order val="1"/>
          <c:tx>
            <c:strRef>
              <c:f>Mixte!$T$3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Mixte!$R$4:$R$8</c:f>
              <c:strCache>
                <c:ptCount val="5"/>
                <c:pt idx="0">
                  <c:v> Q1 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Mixte!$T$4:$T$8</c:f>
              <c:numCache>
                <c:formatCode>0.00%</c:formatCode>
                <c:ptCount val="5"/>
                <c:pt idx="0">
                  <c:v>0.24390243902439024</c:v>
                </c:pt>
                <c:pt idx="1">
                  <c:v>0.16574585635359115</c:v>
                </c:pt>
                <c:pt idx="2">
                  <c:v>9.8376783079193314E-2</c:v>
                </c:pt>
                <c:pt idx="3">
                  <c:v>-1.0996716451402662E-2</c:v>
                </c:pt>
                <c:pt idx="4">
                  <c:v>-5.1604778034037013E-2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6-49E2-85DB-A2964468C597}"/>
            </c:ext>
          </c:extLst>
        </c:ser>
        <c:ser>
          <c:idx val="2"/>
          <c:order val="2"/>
          <c:tx>
            <c:strRef>
              <c:f>Mixte!$U$3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Mixte!$R$4:$R$8</c:f>
              <c:strCache>
                <c:ptCount val="5"/>
                <c:pt idx="0">
                  <c:v> Q1 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Mixte!$U$4:$U$8</c:f>
              <c:numCache>
                <c:formatCode>0.00%</c:formatCode>
                <c:ptCount val="5"/>
                <c:pt idx="0">
                  <c:v>0.32467532467532467</c:v>
                </c:pt>
                <c:pt idx="1">
                  <c:v>0.23391812865497075</c:v>
                </c:pt>
                <c:pt idx="2">
                  <c:v>0.14756517461878998</c:v>
                </c:pt>
                <c:pt idx="3">
                  <c:v>-1.6505712009491996E-2</c:v>
                </c:pt>
                <c:pt idx="4">
                  <c:v>-7.7457085331588002E-2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6-49E2-85DB-A2964468C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948752"/>
        <c:axId val="652953456"/>
      </c:barChart>
      <c:catAx>
        <c:axId val="65294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2953456"/>
        <c:crosses val="autoZero"/>
        <c:auto val="1"/>
        <c:lblAlgn val="ctr"/>
        <c:lblOffset val="100"/>
        <c:noMultiLvlLbl val="0"/>
      </c:catAx>
      <c:valAx>
        <c:axId val="6529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294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Mixte!$R$11</c:f>
              <c:strCache>
                <c:ptCount val="1"/>
                <c:pt idx="0">
                  <c:v>Sans compensation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Mixte!$Q$12:$Q$16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Mixte!$R$12:$R$16</c:f>
              <c:numCache>
                <c:formatCode>0.00</c:formatCode>
                <c:ptCount val="5"/>
                <c:pt idx="0">
                  <c:v>63.6</c:v>
                </c:pt>
                <c:pt idx="1">
                  <c:v>63.9</c:v>
                </c:pt>
                <c:pt idx="2">
                  <c:v>64.67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5-4258-BC4E-B23C719B49BF}"/>
            </c:ext>
          </c:extLst>
        </c:ser>
        <c:ser>
          <c:idx val="1"/>
          <c:order val="1"/>
          <c:tx>
            <c:strRef>
              <c:f>Mixte!$S$11</c:f>
              <c:strCache>
                <c:ptCount val="1"/>
                <c:pt idx="0">
                  <c:v>S0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Mixte!$Q$12:$Q$16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Mixte!$S$12:$S$16</c:f>
              <c:numCache>
                <c:formatCode>0.00</c:formatCode>
                <c:ptCount val="5"/>
                <c:pt idx="0">
                  <c:v>62.7</c:v>
                </c:pt>
                <c:pt idx="1">
                  <c:v>63.6</c:v>
                </c:pt>
                <c:pt idx="2">
                  <c:v>64.594999999999999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55-4258-BC4E-B23C719B49BF}"/>
            </c:ext>
          </c:extLst>
        </c:ser>
        <c:ser>
          <c:idx val="2"/>
          <c:order val="2"/>
          <c:tx>
            <c:strRef>
              <c:f>Mixte!$T$11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Mixte!$Q$12:$Q$16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Mixte!$T$12:$T$16</c:f>
              <c:numCache>
                <c:formatCode>0.00</c:formatCode>
                <c:ptCount val="5"/>
                <c:pt idx="0">
                  <c:v>62</c:v>
                </c:pt>
                <c:pt idx="1">
                  <c:v>63.3</c:v>
                </c:pt>
                <c:pt idx="2">
                  <c:v>64.37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55-4258-BC4E-B23C719B49BF}"/>
            </c:ext>
          </c:extLst>
        </c:ser>
        <c:ser>
          <c:idx val="3"/>
          <c:order val="3"/>
          <c:tx>
            <c:strRef>
              <c:f>Mixte!$U$11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Mixte!$Q$12:$Q$16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Mixte!$U$12:$U$16</c:f>
              <c:numCache>
                <c:formatCode>0.00</c:formatCode>
                <c:ptCount val="5"/>
                <c:pt idx="0">
                  <c:v>61.1</c:v>
                </c:pt>
                <c:pt idx="1">
                  <c:v>62.9</c:v>
                </c:pt>
                <c:pt idx="2">
                  <c:v>63.995000000000005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55-4258-BC4E-B23C719B4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971880"/>
        <c:axId val="652966392"/>
      </c:barChart>
      <c:catAx>
        <c:axId val="65297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2966392"/>
        <c:crosses val="autoZero"/>
        <c:auto val="1"/>
        <c:lblAlgn val="ctr"/>
        <c:lblOffset val="100"/>
        <c:noMultiLvlLbl val="0"/>
      </c:catAx>
      <c:valAx>
        <c:axId val="65296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2971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</xdr:colOff>
      <xdr:row>0</xdr:row>
      <xdr:rowOff>179858</xdr:rowOff>
    </xdr:from>
    <xdr:to>
      <xdr:col>4</xdr:col>
      <xdr:colOff>482600</xdr:colOff>
      <xdr:row>3</xdr:row>
      <xdr:rowOff>140267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86BA3E9-AE76-6658-3FFB-40EFC262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2350" y="179858"/>
          <a:ext cx="1238250" cy="512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309881</xdr:colOff>
      <xdr:row>0</xdr:row>
      <xdr:rowOff>0</xdr:rowOff>
    </xdr:from>
    <xdr:to>
      <xdr:col>9</xdr:col>
      <xdr:colOff>184151</xdr:colOff>
      <xdr:row>4</xdr:row>
      <xdr:rowOff>89473</xdr:rowOff>
    </xdr:to>
    <xdr:pic>
      <xdr:nvPicPr>
        <xdr:cNvPr id="4" name="Image 3" descr="Logo">
          <a:extLst>
            <a:ext uri="{FF2B5EF4-FFF2-40B4-BE49-F238E27FC236}">
              <a16:creationId xmlns:a16="http://schemas.microsoft.com/office/drawing/2014/main" id="{E11ADD1B-E735-4397-D588-53D71629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3881" y="0"/>
          <a:ext cx="1398270" cy="826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23</xdr:row>
      <xdr:rowOff>97155</xdr:rowOff>
    </xdr:from>
    <xdr:to>
      <xdr:col>13</xdr:col>
      <xdr:colOff>529590</xdr:colOff>
      <xdr:row>38</xdr:row>
      <xdr:rowOff>97155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ED164C0-F3A3-1507-4913-00FD18CF05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23</xdr:row>
      <xdr:rowOff>116205</xdr:rowOff>
    </xdr:from>
    <xdr:to>
      <xdr:col>20</xdr:col>
      <xdr:colOff>685800</xdr:colOff>
      <xdr:row>38</xdr:row>
      <xdr:rowOff>116205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1E6A421-B726-E58A-1481-08D75344BD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140970</xdr:colOff>
      <xdr:row>23</xdr:row>
      <xdr:rowOff>43815</xdr:rowOff>
    </xdr:from>
    <xdr:to>
      <xdr:col>14</xdr:col>
      <xdr:colOff>750570</xdr:colOff>
      <xdr:row>37</xdr:row>
      <xdr:rowOff>20955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B11EC90-884D-6205-AEE6-0403311467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96256</xdr:colOff>
      <xdr:row>25</xdr:row>
      <xdr:rowOff>139281</xdr:rowOff>
    </xdr:from>
    <xdr:to>
      <xdr:col>14</xdr:col>
      <xdr:colOff>672500</xdr:colOff>
      <xdr:row>39</xdr:row>
      <xdr:rowOff>66891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2C9DD52-5364-928E-194E-66B526789A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163901</xdr:colOff>
      <xdr:row>23</xdr:row>
      <xdr:rowOff>150961</xdr:rowOff>
    </xdr:from>
    <xdr:to>
      <xdr:col>13</xdr:col>
      <xdr:colOff>681486</xdr:colOff>
      <xdr:row>38</xdr:row>
      <xdr:rowOff>176841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146648</xdr:colOff>
      <xdr:row>23</xdr:row>
      <xdr:rowOff>116456</xdr:rowOff>
    </xdr:from>
    <xdr:to>
      <xdr:col>21</xdr:col>
      <xdr:colOff>163901</xdr:colOff>
      <xdr:row>38</xdr:row>
      <xdr:rowOff>142336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13" displayName="Tableau13" ref="B3:C15" totalsRowShown="0">
  <autoFilter ref="B3:C15" xr:uid="{00000000-0009-0000-0100-000002000000}"/>
  <tableColumns count="2">
    <tableColumn id="1" xr3:uid="{00000000-0010-0000-0000-000001000000}" name="Paramètres à définir"/>
    <tableColumn id="2" xr3:uid="{00000000-0010-0000-0000-000002000000}" name="Référence S0 (Paper)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B4:D16" totalsRowShown="0">
  <autoFilter ref="B4:D16" xr:uid="{00000000-0009-0000-0100-000001000000}"/>
  <tableColumns count="3">
    <tableColumn id="1" xr3:uid="{00000000-0010-0000-0100-000001000000}" name="Paramètres à définir" dataDxfId="2"/>
    <tableColumn id="3" xr3:uid="{00000000-0010-0000-0100-000003000000}" name="S0 uniforme" dataDxfId="1"/>
    <tableColumn id="2" xr3:uid="{00000000-0010-0000-0100-000002000000}" name="S0 inégale" dataDxfId="0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134" displayName="Tableau134" ref="B4:C10" totalsRowShown="0">
  <autoFilter ref="B4:C10" xr:uid="{00000000-0009-0000-0100-000003000000}"/>
  <tableColumns count="2">
    <tableColumn id="1" xr3:uid="{00000000-0010-0000-0200-000001000000}" name="Paramètres à définir"/>
    <tableColumn id="2" xr3:uid="{00000000-0010-0000-0200-000002000000}" name="Référence S0 (Paper)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135" displayName="Tableau135" ref="B3:C15" totalsRowShown="0">
  <autoFilter ref="B3:C15" xr:uid="{00000000-0009-0000-0100-000004000000}"/>
  <tableColumns count="2">
    <tableColumn id="1" xr3:uid="{00000000-0010-0000-0300-000001000000}" name="Paramètres à définir"/>
    <tableColumn id="2" xr3:uid="{00000000-0010-0000-0300-000002000000}" name="Référence S0 (Paper)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6:M23"/>
  <sheetViews>
    <sheetView topLeftCell="C18" workbookViewId="0">
      <selection activeCell="M16" sqref="M16"/>
    </sheetView>
  </sheetViews>
  <sheetFormatPr baseColWidth="10" defaultColWidth="10.90625" defaultRowHeight="14.5" x14ac:dyDescent="0.35"/>
  <cols>
    <col min="1" max="2" width="0" style="78" hidden="1" customWidth="1"/>
    <col min="3" max="16384" width="10.90625" style="78"/>
  </cols>
  <sheetData>
    <row r="6" spans="4:9" ht="15" thickBot="1" x14ac:dyDescent="0.4"/>
    <row r="7" spans="4:9" x14ac:dyDescent="0.35">
      <c r="D7" s="92" t="s">
        <v>80</v>
      </c>
      <c r="E7" s="93"/>
      <c r="F7" s="93"/>
      <c r="G7" s="93"/>
      <c r="H7" s="93"/>
      <c r="I7" s="94"/>
    </row>
    <row r="8" spans="4:9" x14ac:dyDescent="0.35">
      <c r="D8" s="95"/>
      <c r="E8" s="96"/>
      <c r="F8" s="96"/>
      <c r="G8" s="96"/>
      <c r="H8" s="96"/>
      <c r="I8" s="97"/>
    </row>
    <row r="9" spans="4:9" x14ac:dyDescent="0.35">
      <c r="D9" s="95"/>
      <c r="E9" s="96"/>
      <c r="F9" s="96"/>
      <c r="G9" s="96"/>
      <c r="H9" s="96"/>
      <c r="I9" s="97"/>
    </row>
    <row r="10" spans="4:9" x14ac:dyDescent="0.35">
      <c r="D10" s="79"/>
      <c r="I10" s="80"/>
    </row>
    <row r="11" spans="4:9" x14ac:dyDescent="0.35">
      <c r="D11" s="98" t="s">
        <v>79</v>
      </c>
      <c r="E11" s="99"/>
      <c r="F11" s="99"/>
      <c r="G11" s="99"/>
      <c r="H11" s="99"/>
      <c r="I11" s="100"/>
    </row>
    <row r="12" spans="4:9" x14ac:dyDescent="0.35">
      <c r="D12" s="98"/>
      <c r="E12" s="99"/>
      <c r="F12" s="99"/>
      <c r="G12" s="99"/>
      <c r="H12" s="99"/>
      <c r="I12" s="100"/>
    </row>
    <row r="13" spans="4:9" x14ac:dyDescent="0.35">
      <c r="D13" s="79"/>
      <c r="I13" s="80"/>
    </row>
    <row r="14" spans="4:9" x14ac:dyDescent="0.35">
      <c r="D14" s="101" t="s">
        <v>86</v>
      </c>
      <c r="E14" s="102"/>
      <c r="F14" s="102"/>
      <c r="G14" s="102"/>
      <c r="H14" s="102"/>
      <c r="I14" s="103"/>
    </row>
    <row r="15" spans="4:9" ht="15" thickBot="1" x14ac:dyDescent="0.4">
      <c r="D15" s="104"/>
      <c r="E15" s="105"/>
      <c r="F15" s="105"/>
      <c r="G15" s="105"/>
      <c r="H15" s="105"/>
      <c r="I15" s="106"/>
    </row>
    <row r="17" spans="4:13" x14ac:dyDescent="0.35">
      <c r="D17" s="91" t="s">
        <v>82</v>
      </c>
    </row>
    <row r="18" spans="4:13" x14ac:dyDescent="0.35">
      <c r="D18" s="91" t="s">
        <v>83</v>
      </c>
    </row>
    <row r="19" spans="4:13" x14ac:dyDescent="0.35">
      <c r="D19" s="91" t="s">
        <v>84</v>
      </c>
    </row>
    <row r="20" spans="4:13" ht="31.25" customHeight="1" x14ac:dyDescent="0.35">
      <c r="D20" s="107" t="s">
        <v>85</v>
      </c>
      <c r="E20" s="107"/>
      <c r="F20" s="107"/>
      <c r="G20" s="107"/>
      <c r="H20" s="107"/>
      <c r="I20" s="107"/>
      <c r="J20" s="107"/>
      <c r="K20" s="107"/>
      <c r="L20" s="107"/>
      <c r="M20" s="87"/>
    </row>
    <row r="21" spans="4:13" x14ac:dyDescent="0.35">
      <c r="D21" s="149"/>
      <c r="E21" s="87"/>
      <c r="F21" s="87"/>
      <c r="G21" s="87"/>
      <c r="H21" s="87"/>
      <c r="I21" s="87"/>
      <c r="J21" s="87"/>
      <c r="K21" s="87"/>
      <c r="L21" s="87"/>
      <c r="M21" s="87"/>
    </row>
    <row r="22" spans="4:13" x14ac:dyDescent="0.35">
      <c r="D22" s="149"/>
    </row>
    <row r="23" spans="4:13" x14ac:dyDescent="0.35">
      <c r="D23" s="149"/>
    </row>
  </sheetData>
  <mergeCells count="4">
    <mergeCell ref="D7:I9"/>
    <mergeCell ref="D11:I12"/>
    <mergeCell ref="D14:I15"/>
    <mergeCell ref="D20:L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44"/>
  <sheetViews>
    <sheetView workbookViewId="0">
      <selection activeCell="D5" sqref="D5"/>
    </sheetView>
  </sheetViews>
  <sheetFormatPr baseColWidth="10" defaultRowHeight="14.5" x14ac:dyDescent="0.35"/>
  <cols>
    <col min="2" max="2" width="22.08984375" customWidth="1"/>
    <col min="3" max="3" width="25.453125" customWidth="1"/>
    <col min="4" max="4" width="15.90625" bestFit="1" customWidth="1"/>
    <col min="5" max="5" width="16.36328125" bestFit="1" customWidth="1"/>
    <col min="6" max="6" width="16.36328125" customWidth="1"/>
    <col min="7" max="7" width="27.08984375" customWidth="1"/>
    <col min="8" max="8" width="12.90625" bestFit="1" customWidth="1"/>
    <col min="9" max="10" width="12.90625" customWidth="1"/>
  </cols>
  <sheetData>
    <row r="1" spans="2:24" ht="15.5" x14ac:dyDescent="0.35">
      <c r="B1" s="109" t="s">
        <v>64</v>
      </c>
      <c r="C1" s="109"/>
    </row>
    <row r="2" spans="2:24" x14ac:dyDescent="0.35">
      <c r="G2" s="28" t="s">
        <v>22</v>
      </c>
      <c r="R2" s="70"/>
      <c r="S2" s="70"/>
      <c r="T2" s="70"/>
      <c r="U2" s="70"/>
      <c r="V2" s="70"/>
      <c r="W2" s="70"/>
      <c r="X2" s="70"/>
    </row>
    <row r="3" spans="2:24" ht="15" thickBot="1" x14ac:dyDescent="0.4">
      <c r="B3" t="s">
        <v>0</v>
      </c>
      <c r="C3" s="24" t="s">
        <v>65</v>
      </c>
      <c r="D3" s="31" t="s">
        <v>62</v>
      </c>
      <c r="E3" s="31" t="s">
        <v>63</v>
      </c>
      <c r="G3" t="s">
        <v>54</v>
      </c>
      <c r="I3" s="134" t="s">
        <v>61</v>
      </c>
      <c r="J3" s="134"/>
      <c r="K3" s="134" t="s">
        <v>52</v>
      </c>
      <c r="L3" s="134"/>
      <c r="M3" s="134" t="s">
        <v>53</v>
      </c>
      <c r="N3" s="134"/>
      <c r="Q3" s="71"/>
      <c r="R3" s="62"/>
      <c r="S3" s="62" t="s">
        <v>61</v>
      </c>
      <c r="T3" s="62" t="s">
        <v>52</v>
      </c>
      <c r="U3" s="62" t="s">
        <v>53</v>
      </c>
      <c r="V3" s="76"/>
      <c r="W3" s="76"/>
      <c r="X3" s="76"/>
    </row>
    <row r="4" spans="2:24" x14ac:dyDescent="0.35">
      <c r="B4" s="13" t="s">
        <v>6</v>
      </c>
      <c r="C4" s="13"/>
      <c r="D4" s="13"/>
      <c r="E4" s="13"/>
      <c r="G4" s="135" t="s">
        <v>54</v>
      </c>
      <c r="H4" s="136"/>
      <c r="I4" s="126">
        <v>484.11052332081448</v>
      </c>
      <c r="J4" s="127"/>
      <c r="K4" s="126">
        <f>'Calcul pénibilité'!S16/45</f>
        <v>975.95976283521873</v>
      </c>
      <c r="L4" s="127"/>
      <c r="M4" s="126">
        <f>'Calcul pénibilité'!S41/45</f>
        <v>1658.8379920252498</v>
      </c>
      <c r="N4" s="127"/>
      <c r="Q4" s="71"/>
      <c r="R4" s="72" t="s">
        <v>1</v>
      </c>
      <c r="S4" s="67">
        <f>I16</f>
        <v>0.16853932584269657</v>
      </c>
      <c r="T4" s="67">
        <f>K16</f>
        <v>0.22471910112359542</v>
      </c>
      <c r="U4" s="67">
        <f>M16</f>
        <v>0.28089887640449435</v>
      </c>
      <c r="V4" s="76"/>
      <c r="W4" s="76"/>
      <c r="X4" s="76"/>
    </row>
    <row r="5" spans="2:24" x14ac:dyDescent="0.35">
      <c r="B5" t="s">
        <v>35</v>
      </c>
      <c r="C5" s="2">
        <v>0.3</v>
      </c>
      <c r="D5" s="23">
        <v>0.4</v>
      </c>
      <c r="E5" s="23">
        <v>0.5</v>
      </c>
      <c r="G5" s="33" t="s">
        <v>44</v>
      </c>
      <c r="H5" s="13" t="s">
        <v>32</v>
      </c>
      <c r="I5" s="117">
        <v>9.9913041612669697E-3</v>
      </c>
      <c r="J5" s="118"/>
      <c r="K5" s="117">
        <f>'Calcul pénibilité'!N22</f>
        <v>2.0142323642865115E-2</v>
      </c>
      <c r="L5" s="118"/>
      <c r="M5" s="123">
        <f>'Calcul pénibilité'!N47</f>
        <v>3.4235890636911959E-2</v>
      </c>
      <c r="N5" s="118"/>
      <c r="Q5" s="71"/>
      <c r="R5" s="62" t="s">
        <v>2</v>
      </c>
      <c r="S5" s="67">
        <f>I17</f>
        <v>0.10256410256410253</v>
      </c>
      <c r="T5" s="67">
        <f>K17</f>
        <v>0.15384615384615383</v>
      </c>
      <c r="U5" s="67">
        <f>M17</f>
        <v>0.20512820512820507</v>
      </c>
      <c r="V5" s="76"/>
      <c r="W5" s="76"/>
      <c r="X5" s="76"/>
    </row>
    <row r="6" spans="2:24" x14ac:dyDescent="0.35">
      <c r="B6" t="s">
        <v>36</v>
      </c>
      <c r="C6" s="2">
        <f>0.5*C5</f>
        <v>0.15</v>
      </c>
      <c r="D6" s="23">
        <v>0.2</v>
      </c>
      <c r="E6" s="23">
        <v>0.25</v>
      </c>
      <c r="G6" s="17"/>
      <c r="H6" s="13" t="s">
        <v>33</v>
      </c>
      <c r="I6" s="117">
        <v>4.688663527802122E-2</v>
      </c>
      <c r="J6" s="118"/>
      <c r="K6" s="117">
        <f>'Calcul pénibilité'!N23</f>
        <v>9.4522773709165397E-2</v>
      </c>
      <c r="L6" s="118"/>
      <c r="M6" s="123">
        <f>'Calcul pénibilité'!N48</f>
        <v>0.16066027935912233</v>
      </c>
      <c r="N6" s="118"/>
      <c r="Q6" s="71"/>
      <c r="R6" s="62" t="s">
        <v>3</v>
      </c>
      <c r="S6" s="67">
        <f>I18</f>
        <v>4.8239266763145189E-2</v>
      </c>
      <c r="T6" s="67">
        <f>K18</f>
        <v>9.6478533526290378E-2</v>
      </c>
      <c r="U6" s="67">
        <f>M18</f>
        <v>0.14471780028943557</v>
      </c>
      <c r="V6" s="76"/>
      <c r="W6" s="76"/>
      <c r="X6" s="76"/>
    </row>
    <row r="7" spans="2:24" x14ac:dyDescent="0.35">
      <c r="B7" t="s">
        <v>37</v>
      </c>
      <c r="C7" s="2">
        <f t="shared" ref="C7" si="0">0.5*C6</f>
        <v>7.4999999999999997E-2</v>
      </c>
      <c r="D7" s="23">
        <v>0.15</v>
      </c>
      <c r="E7" s="23">
        <v>0.22500000000000001</v>
      </c>
      <c r="G7" s="17"/>
      <c r="I7" s="124"/>
      <c r="J7" s="125"/>
      <c r="K7" s="124"/>
      <c r="L7" s="125"/>
      <c r="M7" s="110"/>
      <c r="N7" s="125"/>
      <c r="Q7" s="71"/>
      <c r="R7" s="62" t="s">
        <v>4</v>
      </c>
      <c r="S7" s="64">
        <f>-I5</f>
        <v>-9.9913041612669697E-3</v>
      </c>
      <c r="T7" s="64">
        <f>-K5</f>
        <v>-2.0142323642865115E-2</v>
      </c>
      <c r="U7" s="64">
        <f>-M5</f>
        <v>-3.4235890636911959E-2</v>
      </c>
    </row>
    <row r="8" spans="2:24" x14ac:dyDescent="0.35">
      <c r="B8" t="s">
        <v>38</v>
      </c>
      <c r="C8" s="2">
        <v>0</v>
      </c>
      <c r="D8" s="68">
        <v>0</v>
      </c>
      <c r="E8" s="68">
        <v>0</v>
      </c>
      <c r="G8" s="33" t="s">
        <v>45</v>
      </c>
      <c r="H8" s="13" t="s">
        <v>33</v>
      </c>
      <c r="I8" s="117">
        <v>5.4619836401248401E-2</v>
      </c>
      <c r="J8" s="118"/>
      <c r="K8" s="117">
        <f>'Calcul pénibilité'!N30</f>
        <v>0.11011279452178953</v>
      </c>
      <c r="L8" s="118"/>
      <c r="M8" s="123">
        <f>'Calcul pénibilité'!N55</f>
        <v>0.18715862468569261</v>
      </c>
      <c r="N8" s="118"/>
      <c r="Q8" s="71"/>
      <c r="R8" s="62" t="s">
        <v>5</v>
      </c>
      <c r="S8" s="64">
        <f>-I6</f>
        <v>-4.688663527802122E-2</v>
      </c>
      <c r="T8" s="64">
        <f>-K6</f>
        <v>-9.4522773709165397E-2</v>
      </c>
      <c r="U8" s="64">
        <f>-M6</f>
        <v>-0.16066027935912233</v>
      </c>
    </row>
    <row r="9" spans="2:24" x14ac:dyDescent="0.35">
      <c r="B9" t="s">
        <v>39</v>
      </c>
      <c r="C9" s="2">
        <v>0</v>
      </c>
      <c r="D9" s="68">
        <v>0</v>
      </c>
      <c r="E9" s="68">
        <v>0</v>
      </c>
      <c r="G9" s="121" t="s">
        <v>60</v>
      </c>
      <c r="H9" s="122"/>
      <c r="I9" s="122"/>
      <c r="J9" s="122"/>
      <c r="K9" s="17"/>
      <c r="L9" s="25"/>
      <c r="N9" s="25"/>
      <c r="P9" s="66"/>
      <c r="Q9" s="73"/>
      <c r="R9" s="73"/>
      <c r="S9" s="71"/>
      <c r="T9" s="71"/>
      <c r="U9" s="71"/>
      <c r="V9" s="70"/>
      <c r="W9" s="70"/>
      <c r="X9" s="70"/>
    </row>
    <row r="10" spans="2:24" x14ac:dyDescent="0.35">
      <c r="B10" s="13" t="s">
        <v>41</v>
      </c>
      <c r="C10" s="13"/>
      <c r="D10" s="13"/>
      <c r="E10" s="13"/>
      <c r="G10" s="17"/>
      <c r="H10" s="34" t="s">
        <v>1</v>
      </c>
      <c r="I10" s="36">
        <v>63.6</v>
      </c>
      <c r="J10" s="35">
        <v>62.7</v>
      </c>
      <c r="K10" s="36">
        <v>63.6</v>
      </c>
      <c r="L10" s="29">
        <f>'Calcul pénibilité'!T10</f>
        <v>62</v>
      </c>
      <c r="M10" s="35">
        <v>63.6</v>
      </c>
      <c r="N10" s="29">
        <f>'Calcul pénibilité'!T35</f>
        <v>61.1</v>
      </c>
      <c r="Q10" s="71"/>
      <c r="R10" s="71"/>
      <c r="S10" s="71"/>
      <c r="T10" s="71"/>
      <c r="U10" s="71"/>
    </row>
    <row r="11" spans="2:24" x14ac:dyDescent="0.35">
      <c r="B11" t="s">
        <v>35</v>
      </c>
      <c r="C11">
        <v>3</v>
      </c>
      <c r="D11" s="30">
        <v>4</v>
      </c>
      <c r="E11" s="30">
        <v>5</v>
      </c>
      <c r="G11" s="17"/>
      <c r="H11" s="34" t="s">
        <v>2</v>
      </c>
      <c r="I11" s="36">
        <v>63.9</v>
      </c>
      <c r="J11" s="35">
        <v>63.6</v>
      </c>
      <c r="K11" s="36">
        <v>63.9</v>
      </c>
      <c r="L11" s="29">
        <f>'Calcul pénibilité'!T11</f>
        <v>63.3</v>
      </c>
      <c r="M11" s="35">
        <v>63.9</v>
      </c>
      <c r="N11" s="29">
        <f>'Calcul pénibilité'!T36</f>
        <v>62.9</v>
      </c>
      <c r="Q11" s="71"/>
      <c r="R11" s="62" t="s">
        <v>78</v>
      </c>
      <c r="S11" s="71" t="s">
        <v>61</v>
      </c>
      <c r="T11" s="71" t="s">
        <v>52</v>
      </c>
      <c r="U11" s="71" t="s">
        <v>53</v>
      </c>
    </row>
    <row r="12" spans="2:24" x14ac:dyDescent="0.35">
      <c r="B12" t="s">
        <v>36</v>
      </c>
      <c r="C12">
        <v>2</v>
      </c>
      <c r="D12" s="30">
        <v>3</v>
      </c>
      <c r="E12" s="30">
        <v>4</v>
      </c>
      <c r="G12" s="17"/>
      <c r="H12" s="34" t="s">
        <v>3</v>
      </c>
      <c r="I12" s="17">
        <v>64.67</v>
      </c>
      <c r="J12">
        <v>64.594999999999999</v>
      </c>
      <c r="K12" s="17">
        <v>64.67</v>
      </c>
      <c r="L12" s="25">
        <f>'Calcul pénibilité'!T12</f>
        <v>64.37</v>
      </c>
      <c r="M12">
        <v>64.67</v>
      </c>
      <c r="N12" s="29">
        <f>'Calcul pénibilité'!T37</f>
        <v>63.995000000000005</v>
      </c>
      <c r="Q12" s="71" t="s">
        <v>1</v>
      </c>
      <c r="R12" s="74">
        <f t="shared" ref="R12:S16" si="1">I10</f>
        <v>63.6</v>
      </c>
      <c r="S12" s="74">
        <f t="shared" si="1"/>
        <v>62.7</v>
      </c>
      <c r="T12" s="74">
        <f>L10</f>
        <v>62</v>
      </c>
      <c r="U12" s="74">
        <f>N10</f>
        <v>61.1</v>
      </c>
    </row>
    <row r="13" spans="2:24" x14ac:dyDescent="0.35">
      <c r="B13" t="s">
        <v>37</v>
      </c>
      <c r="C13">
        <v>1</v>
      </c>
      <c r="D13" s="30">
        <v>2</v>
      </c>
      <c r="E13" s="30">
        <v>3</v>
      </c>
      <c r="G13" s="17"/>
      <c r="H13" s="34" t="s">
        <v>4</v>
      </c>
      <c r="I13" s="17">
        <v>65.59</v>
      </c>
      <c r="J13">
        <v>65.59</v>
      </c>
      <c r="K13" s="17">
        <v>65.59</v>
      </c>
      <c r="L13" s="25">
        <f>'Calcul pénibilité'!T13</f>
        <v>65.59</v>
      </c>
      <c r="M13">
        <v>65.59</v>
      </c>
      <c r="N13" s="29">
        <f>'Calcul pénibilité'!T38</f>
        <v>65.59</v>
      </c>
      <c r="Q13" s="71" t="s">
        <v>2</v>
      </c>
      <c r="R13" s="74">
        <f t="shared" si="1"/>
        <v>63.9</v>
      </c>
      <c r="S13" s="74">
        <f t="shared" si="1"/>
        <v>63.6</v>
      </c>
      <c r="T13" s="74">
        <f>L11</f>
        <v>63.3</v>
      </c>
      <c r="U13" s="74">
        <f>N11</f>
        <v>62.9</v>
      </c>
    </row>
    <row r="14" spans="2:24" x14ac:dyDescent="0.35">
      <c r="B14" t="s">
        <v>38</v>
      </c>
      <c r="C14">
        <v>0</v>
      </c>
      <c r="D14" s="49">
        <v>0</v>
      </c>
      <c r="E14" s="49">
        <v>0</v>
      </c>
      <c r="G14" s="17"/>
      <c r="H14" s="34" t="s">
        <v>5</v>
      </c>
      <c r="I14" s="17">
        <v>67.349999999999994</v>
      </c>
      <c r="J14">
        <v>67.349999999999994</v>
      </c>
      <c r="K14" s="17">
        <v>67.349999999999994</v>
      </c>
      <c r="L14" s="25">
        <f>'Calcul pénibilité'!T14</f>
        <v>67.349999999999994</v>
      </c>
      <c r="M14">
        <v>67.349999999999994</v>
      </c>
      <c r="N14" s="29">
        <f>'Calcul pénibilité'!T39</f>
        <v>67.349999999999994</v>
      </c>
      <c r="Q14" s="71" t="s">
        <v>3</v>
      </c>
      <c r="R14" s="74">
        <f t="shared" si="1"/>
        <v>64.67</v>
      </c>
      <c r="S14" s="74">
        <f t="shared" si="1"/>
        <v>64.594999999999999</v>
      </c>
      <c r="T14" s="74">
        <f>L12</f>
        <v>64.37</v>
      </c>
      <c r="U14" s="74">
        <f>N12</f>
        <v>63.995000000000005</v>
      </c>
    </row>
    <row r="15" spans="2:24" x14ac:dyDescent="0.35">
      <c r="B15" t="s">
        <v>39</v>
      </c>
      <c r="C15">
        <v>0</v>
      </c>
      <c r="D15" s="69">
        <v>0</v>
      </c>
      <c r="E15" s="69">
        <v>0</v>
      </c>
      <c r="G15" s="121" t="s">
        <v>59</v>
      </c>
      <c r="H15" s="122"/>
      <c r="I15" s="122"/>
      <c r="J15" s="122"/>
      <c r="K15" s="17"/>
      <c r="L15" s="25"/>
      <c r="N15" s="25"/>
      <c r="Q15" s="71" t="s">
        <v>4</v>
      </c>
      <c r="R15" s="74">
        <f t="shared" si="1"/>
        <v>65.59</v>
      </c>
      <c r="S15" s="74">
        <f t="shared" si="1"/>
        <v>65.59</v>
      </c>
      <c r="T15" s="74">
        <f>L13</f>
        <v>65.59</v>
      </c>
      <c r="U15" s="74">
        <f>N13</f>
        <v>65.59</v>
      </c>
    </row>
    <row r="16" spans="2:24" x14ac:dyDescent="0.35">
      <c r="G16" s="17"/>
      <c r="H16" s="34" t="s">
        <v>1</v>
      </c>
      <c r="I16" s="117">
        <v>0.16853932584269657</v>
      </c>
      <c r="J16" s="118"/>
      <c r="K16" s="117">
        <f>'Calcul pénibilité'!W10</f>
        <v>0.22471910112359542</v>
      </c>
      <c r="L16" s="118"/>
      <c r="M16" s="123">
        <f>'Calcul pénibilité'!W35</f>
        <v>0.28089887640449435</v>
      </c>
      <c r="N16" s="118"/>
      <c r="Q16" s="71" t="s">
        <v>5</v>
      </c>
      <c r="R16" s="74">
        <f t="shared" si="1"/>
        <v>67.349999999999994</v>
      </c>
      <c r="S16" s="74">
        <f t="shared" si="1"/>
        <v>67.349999999999994</v>
      </c>
      <c r="T16" s="74">
        <f>L14</f>
        <v>67.349999999999994</v>
      </c>
      <c r="U16" s="74">
        <f>N14</f>
        <v>67.349999999999994</v>
      </c>
    </row>
    <row r="17" spans="1:21" x14ac:dyDescent="0.35">
      <c r="A17" s="18" t="s">
        <v>50</v>
      </c>
      <c r="B17" s="13" t="s">
        <v>73</v>
      </c>
      <c r="C17" s="13"/>
      <c r="G17" s="17"/>
      <c r="H17" s="34" t="s">
        <v>2</v>
      </c>
      <c r="I17" s="117">
        <v>0.10256410256410253</v>
      </c>
      <c r="J17" s="118"/>
      <c r="K17" s="117">
        <f>'Calcul pénibilité'!W11</f>
        <v>0.15384615384615383</v>
      </c>
      <c r="L17" s="118"/>
      <c r="M17" s="117">
        <f>'Calcul pénibilité'!W36</f>
        <v>0.20512820512820507</v>
      </c>
      <c r="N17" s="118"/>
    </row>
    <row r="18" spans="1:21" x14ac:dyDescent="0.35">
      <c r="B18" s="13" t="s">
        <v>68</v>
      </c>
      <c r="C18" s="13"/>
      <c r="D18" s="14">
        <v>0.2082</v>
      </c>
      <c r="E18" s="57" t="s">
        <v>1</v>
      </c>
      <c r="G18" s="17"/>
      <c r="H18" s="34" t="s">
        <v>3</v>
      </c>
      <c r="I18" s="117">
        <v>4.8239266763145189E-2</v>
      </c>
      <c r="J18" s="118"/>
      <c r="K18" s="117">
        <f>'Calcul pénibilité'!W12</f>
        <v>9.6478533526290378E-2</v>
      </c>
      <c r="L18" s="118"/>
      <c r="M18" s="117">
        <f>'Calcul pénibilité'!W37</f>
        <v>0.14471780028943557</v>
      </c>
      <c r="N18" s="118"/>
    </row>
    <row r="19" spans="1:21" x14ac:dyDescent="0.35">
      <c r="D19" s="14">
        <v>0.15615000000000001</v>
      </c>
      <c r="E19" s="57" t="s">
        <v>2</v>
      </c>
      <c r="G19" s="17"/>
      <c r="H19" s="34" t="s">
        <v>4</v>
      </c>
      <c r="I19" s="117">
        <v>0</v>
      </c>
      <c r="J19" s="118"/>
      <c r="K19" s="117">
        <f>'Calcul pénibilité'!W13</f>
        <v>0</v>
      </c>
      <c r="L19" s="118"/>
      <c r="M19" s="117">
        <f>'Calcul pénibilité'!W38</f>
        <v>0</v>
      </c>
      <c r="N19" s="118"/>
    </row>
    <row r="20" spans="1:21" ht="15" thickBot="1" x14ac:dyDescent="0.4">
      <c r="D20" s="14">
        <v>0.1041</v>
      </c>
      <c r="E20" s="57" t="s">
        <v>3</v>
      </c>
      <c r="G20" s="26"/>
      <c r="H20" s="27" t="s">
        <v>5</v>
      </c>
      <c r="I20" s="119">
        <v>0</v>
      </c>
      <c r="J20" s="120"/>
      <c r="K20" s="119">
        <f>'Calcul pénibilité'!W14</f>
        <v>0</v>
      </c>
      <c r="L20" s="120"/>
      <c r="M20" s="119">
        <f>'Calcul pénibilité'!W39</f>
        <v>0</v>
      </c>
      <c r="N20" s="120"/>
    </row>
    <row r="21" spans="1:21" ht="15" thickBot="1" x14ac:dyDescent="0.4">
      <c r="D21" s="14">
        <v>7.8075000000000006E-2</v>
      </c>
      <c r="E21" s="57" t="s">
        <v>4</v>
      </c>
    </row>
    <row r="22" spans="1:21" x14ac:dyDescent="0.35">
      <c r="D22" s="14">
        <v>5.2049999999999999E-2</v>
      </c>
      <c r="E22" s="57" t="s">
        <v>5</v>
      </c>
      <c r="G22" s="24"/>
      <c r="I22" s="111" t="s">
        <v>74</v>
      </c>
      <c r="J22" s="112"/>
      <c r="K22" s="112"/>
      <c r="L22" s="112"/>
      <c r="M22" s="112"/>
      <c r="N22" s="113"/>
      <c r="P22" s="128" t="s">
        <v>77</v>
      </c>
      <c r="Q22" s="129"/>
      <c r="R22" s="129"/>
      <c r="S22" s="129"/>
      <c r="T22" s="129"/>
      <c r="U22" s="130"/>
    </row>
    <row r="23" spans="1:21" ht="15" thickBot="1" x14ac:dyDescent="0.4">
      <c r="B23" s="13" t="s">
        <v>51</v>
      </c>
      <c r="C23" s="13"/>
      <c r="D23" s="22">
        <v>81.400000000000006</v>
      </c>
      <c r="E23" s="57" t="s">
        <v>1</v>
      </c>
      <c r="I23" s="114"/>
      <c r="J23" s="115"/>
      <c r="K23" s="115"/>
      <c r="L23" s="115"/>
      <c r="M23" s="115"/>
      <c r="N23" s="116"/>
      <c r="P23" s="131"/>
      <c r="Q23" s="132"/>
      <c r="R23" s="132"/>
      <c r="S23" s="132"/>
      <c r="T23" s="132"/>
      <c r="U23" s="133"/>
    </row>
    <row r="24" spans="1:21" x14ac:dyDescent="0.35">
      <c r="D24">
        <v>83.4</v>
      </c>
      <c r="E24" s="57" t="s">
        <v>2</v>
      </c>
      <c r="H24" s="110"/>
      <c r="I24" s="110"/>
      <c r="J24" s="110"/>
      <c r="K24" s="110"/>
    </row>
    <row r="25" spans="1:21" x14ac:dyDescent="0.35">
      <c r="D25">
        <v>85.4</v>
      </c>
      <c r="E25" s="57" t="s">
        <v>3</v>
      </c>
      <c r="H25" s="110"/>
      <c r="I25" s="110"/>
      <c r="J25" s="110"/>
      <c r="K25" s="110"/>
    </row>
    <row r="26" spans="1:21" x14ac:dyDescent="0.35">
      <c r="D26">
        <v>87.4</v>
      </c>
      <c r="E26" s="57" t="s">
        <v>4</v>
      </c>
      <c r="H26" s="110"/>
      <c r="I26" s="110"/>
      <c r="J26" s="110"/>
      <c r="K26" s="110"/>
    </row>
    <row r="27" spans="1:21" x14ac:dyDescent="0.35">
      <c r="D27">
        <v>89.4</v>
      </c>
      <c r="E27" s="57" t="s">
        <v>5</v>
      </c>
      <c r="H27" s="110"/>
      <c r="I27" s="110"/>
      <c r="J27" s="110"/>
      <c r="K27" s="110"/>
    </row>
    <row r="28" spans="1:21" x14ac:dyDescent="0.35">
      <c r="B28" s="13" t="s">
        <v>76</v>
      </c>
      <c r="C28" s="13"/>
      <c r="D28" s="13"/>
      <c r="G28" s="110"/>
      <c r="H28" s="110"/>
      <c r="I28" s="110"/>
      <c r="J28" s="110"/>
      <c r="K28" s="110"/>
      <c r="L28" s="110"/>
    </row>
    <row r="29" spans="1:21" x14ac:dyDescent="0.35">
      <c r="H29" s="24"/>
      <c r="I29" s="24"/>
      <c r="J29" s="24"/>
    </row>
    <row r="30" spans="1:21" x14ac:dyDescent="0.35">
      <c r="H30" s="24"/>
      <c r="I30" s="24"/>
      <c r="J30" s="24"/>
    </row>
    <row r="31" spans="1:21" x14ac:dyDescent="0.35">
      <c r="H31" s="24"/>
      <c r="I31" s="24"/>
      <c r="J31" s="24"/>
    </row>
    <row r="32" spans="1:21" x14ac:dyDescent="0.35">
      <c r="H32" s="24"/>
      <c r="I32" s="24"/>
      <c r="J32" s="24"/>
    </row>
    <row r="33" spans="7:14" x14ac:dyDescent="0.35">
      <c r="H33" s="24"/>
      <c r="I33" s="24"/>
      <c r="J33" s="24"/>
    </row>
    <row r="34" spans="7:14" x14ac:dyDescent="0.35">
      <c r="G34" s="110"/>
      <c r="H34" s="110"/>
      <c r="I34" s="110"/>
      <c r="J34" s="110"/>
      <c r="K34" s="110"/>
      <c r="L34" s="110"/>
    </row>
    <row r="35" spans="7:14" x14ac:dyDescent="0.35">
      <c r="H35" s="110"/>
      <c r="I35" s="110"/>
      <c r="J35" s="110"/>
      <c r="K35" s="110"/>
    </row>
    <row r="36" spans="7:14" x14ac:dyDescent="0.35">
      <c r="H36" s="110"/>
      <c r="I36" s="110"/>
      <c r="J36" s="110"/>
      <c r="K36" s="110"/>
    </row>
    <row r="37" spans="7:14" x14ac:dyDescent="0.35">
      <c r="H37" s="110"/>
      <c r="I37" s="110"/>
      <c r="J37" s="110"/>
      <c r="K37" s="110"/>
    </row>
    <row r="38" spans="7:14" x14ac:dyDescent="0.35">
      <c r="H38" s="110"/>
      <c r="I38" s="110"/>
      <c r="J38" s="110"/>
      <c r="K38" s="110"/>
    </row>
    <row r="39" spans="7:14" x14ac:dyDescent="0.35">
      <c r="H39" s="110"/>
      <c r="I39" s="110"/>
      <c r="J39" s="110"/>
      <c r="K39" s="110"/>
    </row>
    <row r="40" spans="7:14" x14ac:dyDescent="0.35">
      <c r="I40" s="108"/>
      <c r="J40" s="108"/>
      <c r="K40" s="108"/>
      <c r="L40" s="108"/>
      <c r="M40" s="108"/>
      <c r="N40" s="108"/>
    </row>
    <row r="41" spans="7:14" x14ac:dyDescent="0.35">
      <c r="I41" s="108"/>
      <c r="J41" s="108"/>
      <c r="K41" s="108"/>
      <c r="L41" s="108"/>
      <c r="M41" s="108"/>
      <c r="N41" s="108"/>
    </row>
    <row r="42" spans="7:14" x14ac:dyDescent="0.35">
      <c r="I42" s="108"/>
      <c r="J42" s="108"/>
      <c r="K42" s="108"/>
      <c r="L42" s="108"/>
      <c r="M42" s="108"/>
      <c r="N42" s="108"/>
    </row>
    <row r="43" spans="7:14" x14ac:dyDescent="0.35">
      <c r="I43" s="108"/>
      <c r="J43" s="108"/>
      <c r="K43" s="108"/>
      <c r="L43" s="108"/>
      <c r="M43" s="108"/>
      <c r="N43" s="108"/>
    </row>
    <row r="44" spans="7:14" x14ac:dyDescent="0.35">
      <c r="I44" s="108"/>
      <c r="J44" s="108"/>
      <c r="K44" s="108"/>
      <c r="L44" s="108"/>
      <c r="M44" s="108"/>
      <c r="N44" s="108"/>
    </row>
  </sheetData>
  <sheetProtection algorithmName="SHA-512" hashValue="6lSuZqpS478L3akdwX4aE3sl0brUYOqSeDvmcpRLW4tKOK9uivd/e8kkOfRIoXFV/a3Adr/RWPMJ9LLRV5j/sQ==" saltValue="HiejRYcC0rlwzqCOcqGV/g==" spinCount="100000" sheet="1" objects="1" scenarios="1"/>
  <mergeCells count="51">
    <mergeCell ref="P22:U23"/>
    <mergeCell ref="M4:N4"/>
    <mergeCell ref="K3:L3"/>
    <mergeCell ref="M3:N3"/>
    <mergeCell ref="G9:J9"/>
    <mergeCell ref="I3:J3"/>
    <mergeCell ref="G4:H4"/>
    <mergeCell ref="I4:J4"/>
    <mergeCell ref="I5:J5"/>
    <mergeCell ref="I6:J6"/>
    <mergeCell ref="I7:J7"/>
    <mergeCell ref="I8:J8"/>
    <mergeCell ref="M17:N17"/>
    <mergeCell ref="M18:N18"/>
    <mergeCell ref="M19:N19"/>
    <mergeCell ref="M20:N20"/>
    <mergeCell ref="K4:L4"/>
    <mergeCell ref="M5:N5"/>
    <mergeCell ref="M6:N6"/>
    <mergeCell ref="M7:N7"/>
    <mergeCell ref="M8:N8"/>
    <mergeCell ref="M16:N16"/>
    <mergeCell ref="K5:L5"/>
    <mergeCell ref="K6:L6"/>
    <mergeCell ref="K7:L7"/>
    <mergeCell ref="K8:L8"/>
    <mergeCell ref="K16:L16"/>
    <mergeCell ref="K17:L17"/>
    <mergeCell ref="K20:L20"/>
    <mergeCell ref="G15:J15"/>
    <mergeCell ref="I16:J16"/>
    <mergeCell ref="I17:J17"/>
    <mergeCell ref="I18:J18"/>
    <mergeCell ref="I19:J19"/>
    <mergeCell ref="I20:J20"/>
    <mergeCell ref="I40:N44"/>
    <mergeCell ref="B1:C1"/>
    <mergeCell ref="H39:K39"/>
    <mergeCell ref="G28:L28"/>
    <mergeCell ref="G34:L34"/>
    <mergeCell ref="H35:K35"/>
    <mergeCell ref="H36:K36"/>
    <mergeCell ref="H37:K37"/>
    <mergeCell ref="H38:K38"/>
    <mergeCell ref="H26:K26"/>
    <mergeCell ref="H27:K27"/>
    <mergeCell ref="H24:K24"/>
    <mergeCell ref="H25:K25"/>
    <mergeCell ref="I22:N23"/>
    <mergeCell ref="K18:L18"/>
    <mergeCell ref="K19:L19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rgb="FF92D050"/>
  </sheetPr>
  <dimension ref="A2:Z34"/>
  <sheetViews>
    <sheetView workbookViewId="0">
      <selection activeCell="F19" sqref="F19"/>
    </sheetView>
  </sheetViews>
  <sheetFormatPr baseColWidth="10" defaultRowHeight="14.5" x14ac:dyDescent="0.35"/>
  <cols>
    <col min="2" max="2" width="38.26953125" customWidth="1"/>
    <col min="3" max="3" width="15.453125" customWidth="1"/>
    <col min="4" max="4" width="14.26953125" customWidth="1"/>
    <col min="8" max="8" width="20.26953125" customWidth="1"/>
    <col min="9" max="9" width="21.08984375" customWidth="1"/>
  </cols>
  <sheetData>
    <row r="2" spans="2:26" ht="15.5" x14ac:dyDescent="0.35">
      <c r="B2" s="137" t="s">
        <v>71</v>
      </c>
      <c r="C2" s="137"/>
      <c r="D2" s="46"/>
      <c r="H2" s="28" t="s">
        <v>22</v>
      </c>
      <c r="I2" s="48"/>
      <c r="V2" s="62"/>
      <c r="W2" s="62" t="s">
        <v>69</v>
      </c>
      <c r="X2" s="62" t="s">
        <v>70</v>
      </c>
      <c r="Y2" s="63" t="s">
        <v>52</v>
      </c>
      <c r="Z2" s="63" t="s">
        <v>53</v>
      </c>
    </row>
    <row r="3" spans="2:26" ht="15" thickBot="1" x14ac:dyDescent="0.4">
      <c r="J3" s="138" t="s">
        <v>69</v>
      </c>
      <c r="K3" s="138"/>
      <c r="L3" s="138" t="s">
        <v>70</v>
      </c>
      <c r="M3" s="138"/>
      <c r="N3" s="138" t="s">
        <v>52</v>
      </c>
      <c r="O3" s="138"/>
      <c r="P3" s="138" t="s">
        <v>53</v>
      </c>
      <c r="Q3" s="138"/>
      <c r="V3" s="62" t="s">
        <v>1</v>
      </c>
      <c r="W3" s="64">
        <f>J16</f>
        <v>0.13761467889908252</v>
      </c>
      <c r="X3" s="64">
        <f>L16</f>
        <v>0.16853932584269657</v>
      </c>
      <c r="Y3" s="64">
        <f>N16</f>
        <v>0.18292682926829271</v>
      </c>
      <c r="Z3" s="64">
        <f>P16</f>
        <v>0.19480519480519479</v>
      </c>
    </row>
    <row r="4" spans="2:26" x14ac:dyDescent="0.35">
      <c r="B4" t="s">
        <v>0</v>
      </c>
      <c r="C4" s="24" t="s">
        <v>69</v>
      </c>
      <c r="D4" s="24" t="s">
        <v>70</v>
      </c>
      <c r="E4" s="28" t="s">
        <v>52</v>
      </c>
      <c r="F4" s="31" t="s">
        <v>53</v>
      </c>
      <c r="H4" s="135" t="s">
        <v>54</v>
      </c>
      <c r="I4" s="136"/>
      <c r="J4" s="126">
        <v>595.43808741652958</v>
      </c>
      <c r="K4" s="127"/>
      <c r="L4" s="126">
        <v>484.11052332081448</v>
      </c>
      <c r="M4" s="127"/>
      <c r="N4" s="126">
        <f>'Calcul longévité'!Q17/45</f>
        <v>476.58642067711821</v>
      </c>
      <c r="O4" s="127"/>
      <c r="P4" s="126">
        <f>'Calcul longévité'!Q42/45</f>
        <v>588.96121739066041</v>
      </c>
      <c r="Q4" s="127"/>
      <c r="V4" s="62" t="s">
        <v>2</v>
      </c>
      <c r="W4" s="64">
        <f>J17</f>
        <v>9.3023255813953445E-2</v>
      </c>
      <c r="X4" s="64">
        <f>L17</f>
        <v>0.10256410256410253</v>
      </c>
      <c r="Y4" s="64">
        <f>N17</f>
        <v>0.11049723756906076</v>
      </c>
      <c r="Z4" s="64">
        <f>P17</f>
        <v>0.11695906432748537</v>
      </c>
    </row>
    <row r="5" spans="2:26" x14ac:dyDescent="0.35">
      <c r="B5" s="20" t="s">
        <v>31</v>
      </c>
      <c r="C5" s="44"/>
      <c r="D5" s="21"/>
      <c r="E5" s="21"/>
      <c r="F5" s="21"/>
      <c r="H5" s="33" t="s">
        <v>44</v>
      </c>
      <c r="I5" s="13" t="s">
        <v>32</v>
      </c>
      <c r="J5" s="117">
        <v>1.3952507511501832E-2</v>
      </c>
      <c r="K5" s="118"/>
      <c r="L5" s="117">
        <v>9.9913041612669697E-3</v>
      </c>
      <c r="M5" s="118"/>
      <c r="N5" s="123">
        <f>'Calcul longévité'!L23</f>
        <v>8.7022203711342814E-3</v>
      </c>
      <c r="O5" s="118"/>
      <c r="P5" s="117">
        <f>'Calcul longévité'!L48</f>
        <v>1.0325857454952229E-2</v>
      </c>
      <c r="Q5" s="118"/>
      <c r="V5" s="62" t="s">
        <v>3</v>
      </c>
      <c r="W5" s="64">
        <f>J18</f>
        <v>4.8239266763145189E-2</v>
      </c>
      <c r="X5" s="64">
        <f>L18</f>
        <v>4.8239266763145189E-2</v>
      </c>
      <c r="Y5" s="64">
        <f>N18</f>
        <v>4.9188391539596657E-2</v>
      </c>
      <c r="Z5" s="64">
        <f>P18</f>
        <v>4.9188391539596657E-2</v>
      </c>
    </row>
    <row r="6" spans="2:26" x14ac:dyDescent="0.35">
      <c r="B6" s="19" t="s">
        <v>35</v>
      </c>
      <c r="C6" s="45">
        <v>85.4</v>
      </c>
      <c r="D6" s="49">
        <v>81.400000000000006</v>
      </c>
      <c r="E6" s="30">
        <v>80</v>
      </c>
      <c r="F6" s="30">
        <v>79</v>
      </c>
      <c r="H6" s="17"/>
      <c r="I6" s="13" t="s">
        <v>33</v>
      </c>
      <c r="J6" s="117">
        <v>6.5475549572567737E-2</v>
      </c>
      <c r="K6" s="118"/>
      <c r="L6" s="117">
        <v>4.688663527802122E-2</v>
      </c>
      <c r="M6" s="118"/>
      <c r="N6" s="123">
        <f>'Calcul longévité'!L24</f>
        <v>4.0837294717950001E-2</v>
      </c>
      <c r="O6" s="118"/>
      <c r="P6" s="117">
        <f>'Calcul longévité'!L49</f>
        <v>4.8456608327474684E-2</v>
      </c>
      <c r="Q6" s="118"/>
      <c r="V6" s="62" t="s">
        <v>4</v>
      </c>
      <c r="W6" s="64">
        <f>-J5</f>
        <v>-1.3952507511501832E-2</v>
      </c>
      <c r="X6" s="64">
        <f>-L5</f>
        <v>-9.9913041612669697E-3</v>
      </c>
      <c r="Y6" s="64">
        <f>-N5</f>
        <v>-8.7022203711342814E-3</v>
      </c>
      <c r="Z6" s="64">
        <f>-P5</f>
        <v>-1.0325857454952229E-2</v>
      </c>
    </row>
    <row r="7" spans="2:26" x14ac:dyDescent="0.35">
      <c r="B7" s="19" t="s">
        <v>36</v>
      </c>
      <c r="C7" s="45">
        <v>85.4</v>
      </c>
      <c r="D7" s="49">
        <v>83.4</v>
      </c>
      <c r="E7" s="30">
        <v>82</v>
      </c>
      <c r="F7" s="30">
        <v>81</v>
      </c>
      <c r="H7" s="17"/>
      <c r="J7" s="124"/>
      <c r="K7" s="125"/>
      <c r="L7" s="124"/>
      <c r="M7" s="125"/>
      <c r="N7" s="110"/>
      <c r="O7" s="125"/>
      <c r="P7" s="124"/>
      <c r="Q7" s="125"/>
      <c r="V7" s="62" t="s">
        <v>5</v>
      </c>
      <c r="W7" s="64">
        <f>-J6</f>
        <v>-6.5475549572567737E-2</v>
      </c>
      <c r="X7" s="64">
        <f>-L6</f>
        <v>-4.688663527802122E-2</v>
      </c>
      <c r="Y7" s="64">
        <f>-N6</f>
        <v>-4.0837294717950001E-2</v>
      </c>
      <c r="Z7" s="64">
        <f>-P6</f>
        <v>-4.8456608327474684E-2</v>
      </c>
    </row>
    <row r="8" spans="2:26" x14ac:dyDescent="0.35">
      <c r="B8" s="19" t="s">
        <v>37</v>
      </c>
      <c r="C8" s="45">
        <v>85.4</v>
      </c>
      <c r="D8" s="49">
        <v>85.4</v>
      </c>
      <c r="E8" s="30">
        <v>85</v>
      </c>
      <c r="F8" s="30">
        <v>85</v>
      </c>
      <c r="H8" s="33" t="s">
        <v>45</v>
      </c>
      <c r="I8" s="13" t="s">
        <v>33</v>
      </c>
      <c r="J8" s="117">
        <v>7.7796364288592573E-2</v>
      </c>
      <c r="K8" s="118"/>
      <c r="L8" s="117">
        <v>5.4619836401248401E-2</v>
      </c>
      <c r="M8" s="118"/>
      <c r="N8" s="123">
        <f>'Calcul longévité'!L31</f>
        <v>4.7005957384828108E-2</v>
      </c>
      <c r="O8" s="118"/>
      <c r="P8" s="123">
        <f>'Calcul longévité'!L56</f>
        <v>5.6346853675035329E-2</v>
      </c>
      <c r="Q8" s="118"/>
    </row>
    <row r="9" spans="2:26" x14ac:dyDescent="0.35">
      <c r="B9" s="19" t="s">
        <v>38</v>
      </c>
      <c r="C9" s="45">
        <v>85.4</v>
      </c>
      <c r="D9" s="49">
        <v>87.4</v>
      </c>
      <c r="E9" s="30">
        <v>88</v>
      </c>
      <c r="F9" s="30">
        <v>89</v>
      </c>
      <c r="H9" s="121" t="s">
        <v>60</v>
      </c>
      <c r="I9" s="122"/>
      <c r="J9" s="122"/>
      <c r="K9" s="122"/>
      <c r="L9" s="17"/>
      <c r="M9" s="25"/>
      <c r="O9" s="25"/>
      <c r="Q9" s="25"/>
      <c r="S9" s="71"/>
      <c r="T9" s="75" t="s">
        <v>78</v>
      </c>
      <c r="U9" s="71" t="s">
        <v>61</v>
      </c>
      <c r="V9" s="62" t="s">
        <v>52</v>
      </c>
      <c r="W9" s="71" t="s">
        <v>53</v>
      </c>
    </row>
    <row r="10" spans="2:26" x14ac:dyDescent="0.35">
      <c r="B10" s="19" t="s">
        <v>39</v>
      </c>
      <c r="C10" s="45">
        <v>85.4</v>
      </c>
      <c r="D10" s="49">
        <v>89.4</v>
      </c>
      <c r="E10" s="30">
        <v>92</v>
      </c>
      <c r="F10" s="30">
        <v>92</v>
      </c>
      <c r="H10" s="17"/>
      <c r="I10" s="34" t="s">
        <v>1</v>
      </c>
      <c r="J10" s="36">
        <v>63.6</v>
      </c>
      <c r="K10" s="35">
        <v>62.7</v>
      </c>
      <c r="L10" s="36">
        <v>63.6</v>
      </c>
      <c r="M10" s="29">
        <v>62.7</v>
      </c>
      <c r="N10" s="35">
        <v>63.6</v>
      </c>
      <c r="O10" s="29">
        <f>'Calcul longévité'!R11</f>
        <v>62.7</v>
      </c>
      <c r="P10" s="35">
        <v>63.6</v>
      </c>
      <c r="Q10" s="29">
        <f>'Calcul longévité'!R36</f>
        <v>62.7</v>
      </c>
      <c r="S10" s="71" t="s">
        <v>1</v>
      </c>
      <c r="T10" s="74">
        <f>J10</f>
        <v>63.6</v>
      </c>
      <c r="U10" s="74">
        <f t="shared" ref="U10:U14" si="0">K10</f>
        <v>62.7</v>
      </c>
      <c r="V10" s="74">
        <f>M10</f>
        <v>62.7</v>
      </c>
      <c r="W10" s="74">
        <f>O10</f>
        <v>62.7</v>
      </c>
    </row>
    <row r="11" spans="2:26" x14ac:dyDescent="0.35">
      <c r="B11" s="20" t="s">
        <v>40</v>
      </c>
      <c r="C11" s="44"/>
      <c r="D11" s="21"/>
      <c r="E11" s="21"/>
      <c r="F11" s="32"/>
      <c r="H11" s="17"/>
      <c r="I11" s="34" t="s">
        <v>2</v>
      </c>
      <c r="J11" s="36">
        <v>63.9</v>
      </c>
      <c r="K11" s="35">
        <v>63.6</v>
      </c>
      <c r="L11" s="36">
        <v>63.9</v>
      </c>
      <c r="M11" s="29">
        <v>63.6</v>
      </c>
      <c r="N11" s="35">
        <v>63.9</v>
      </c>
      <c r="O11" s="29">
        <f>'Calcul longévité'!R12</f>
        <v>63.6</v>
      </c>
      <c r="P11" s="35">
        <v>63.9</v>
      </c>
      <c r="Q11" s="29">
        <f>'Calcul longévité'!R37</f>
        <v>63.6</v>
      </c>
      <c r="S11" s="71" t="s">
        <v>2</v>
      </c>
      <c r="T11" s="74">
        <f t="shared" ref="T11:T14" si="1">J11</f>
        <v>63.9</v>
      </c>
      <c r="U11" s="74">
        <f t="shared" si="0"/>
        <v>63.6</v>
      </c>
      <c r="V11" s="74">
        <f>M11</f>
        <v>63.6</v>
      </c>
      <c r="W11" s="74">
        <f>O11</f>
        <v>63.6</v>
      </c>
    </row>
    <row r="12" spans="2:26" x14ac:dyDescent="0.35">
      <c r="B12" s="19" t="s">
        <v>35</v>
      </c>
      <c r="C12" s="47">
        <v>0</v>
      </c>
      <c r="D12" s="58">
        <v>0.2082</v>
      </c>
      <c r="E12" s="56">
        <v>0.22</v>
      </c>
      <c r="F12" s="56">
        <v>0</v>
      </c>
      <c r="H12" s="17"/>
      <c r="I12" s="34" t="s">
        <v>3</v>
      </c>
      <c r="J12" s="17">
        <v>64.67</v>
      </c>
      <c r="K12">
        <v>64.594999999999999</v>
      </c>
      <c r="L12" s="17">
        <v>64.67</v>
      </c>
      <c r="M12" s="29">
        <v>64.594999999999999</v>
      </c>
      <c r="N12">
        <v>64.67</v>
      </c>
      <c r="O12" s="29">
        <f>'Calcul longévité'!R13</f>
        <v>64.594999999999999</v>
      </c>
      <c r="P12">
        <v>64.67</v>
      </c>
      <c r="Q12" s="29">
        <f>'Calcul longévité'!R38</f>
        <v>64.594999999999999</v>
      </c>
      <c r="S12" s="71" t="s">
        <v>3</v>
      </c>
      <c r="T12" s="74">
        <f t="shared" si="1"/>
        <v>64.67</v>
      </c>
      <c r="U12" s="74">
        <f t="shared" si="0"/>
        <v>64.594999999999999</v>
      </c>
      <c r="V12" s="74">
        <f>M12</f>
        <v>64.594999999999999</v>
      </c>
      <c r="W12" s="74">
        <f>O12</f>
        <v>64.594999999999999</v>
      </c>
    </row>
    <row r="13" spans="2:26" x14ac:dyDescent="0.35">
      <c r="B13" s="19" t="s">
        <v>36</v>
      </c>
      <c r="C13" s="47">
        <v>0</v>
      </c>
      <c r="D13" s="58">
        <v>0.15615000000000001</v>
      </c>
      <c r="E13" s="56">
        <v>0.17</v>
      </c>
      <c r="F13" s="56">
        <v>0</v>
      </c>
      <c r="H13" s="17"/>
      <c r="I13" s="34" t="s">
        <v>4</v>
      </c>
      <c r="J13" s="17">
        <v>65.59</v>
      </c>
      <c r="K13">
        <v>65.59</v>
      </c>
      <c r="L13" s="17">
        <v>65.59</v>
      </c>
      <c r="M13" s="29">
        <v>65.59</v>
      </c>
      <c r="N13">
        <v>65.59</v>
      </c>
      <c r="O13" s="29">
        <f>'Calcul longévité'!R14</f>
        <v>65.59</v>
      </c>
      <c r="P13">
        <v>65.59</v>
      </c>
      <c r="Q13" s="29">
        <f>'Calcul longévité'!R39</f>
        <v>65.59</v>
      </c>
      <c r="S13" s="71" t="s">
        <v>4</v>
      </c>
      <c r="T13" s="74">
        <f t="shared" si="1"/>
        <v>65.59</v>
      </c>
      <c r="U13" s="74">
        <f t="shared" si="0"/>
        <v>65.59</v>
      </c>
      <c r="V13" s="74">
        <f>M13</f>
        <v>65.59</v>
      </c>
      <c r="W13" s="74">
        <f>O13</f>
        <v>65.59</v>
      </c>
    </row>
    <row r="14" spans="2:26" x14ac:dyDescent="0.35">
      <c r="B14" s="19" t="s">
        <v>37</v>
      </c>
      <c r="C14" s="47">
        <v>0</v>
      </c>
      <c r="D14" s="58">
        <v>0.1041</v>
      </c>
      <c r="E14" s="56">
        <v>0.12</v>
      </c>
      <c r="F14" s="56">
        <v>0.15</v>
      </c>
      <c r="H14" s="17"/>
      <c r="I14" s="34" t="s">
        <v>5</v>
      </c>
      <c r="J14" s="17">
        <v>67.349999999999994</v>
      </c>
      <c r="K14">
        <v>67.349999999999994</v>
      </c>
      <c r="L14" s="17">
        <v>67.349999999999994</v>
      </c>
      <c r="M14" s="29">
        <v>67.349999999999994</v>
      </c>
      <c r="N14">
        <v>67.349999999999994</v>
      </c>
      <c r="O14" s="29">
        <f>'Calcul longévité'!R15</f>
        <v>67.349999999999994</v>
      </c>
      <c r="P14">
        <v>67.349999999999994</v>
      </c>
      <c r="Q14" s="29">
        <f>'Calcul longévité'!R40</f>
        <v>67.349999999999994</v>
      </c>
      <c r="S14" s="71" t="s">
        <v>5</v>
      </c>
      <c r="T14" s="74">
        <f t="shared" si="1"/>
        <v>67.349999999999994</v>
      </c>
      <c r="U14" s="74">
        <f t="shared" si="0"/>
        <v>67.349999999999994</v>
      </c>
      <c r="V14" s="74">
        <f>M14</f>
        <v>67.349999999999994</v>
      </c>
      <c r="W14" s="74">
        <f>O14</f>
        <v>67.349999999999994</v>
      </c>
    </row>
    <row r="15" spans="2:26" x14ac:dyDescent="0.35">
      <c r="B15" s="19" t="s">
        <v>38</v>
      </c>
      <c r="C15" s="47">
        <v>0</v>
      </c>
      <c r="D15" s="58">
        <v>7.8075000000000006E-2</v>
      </c>
      <c r="E15" s="56">
        <v>0.06</v>
      </c>
      <c r="F15" s="56">
        <v>0</v>
      </c>
      <c r="H15" s="121" t="s">
        <v>59</v>
      </c>
      <c r="I15" s="122"/>
      <c r="J15" s="122"/>
      <c r="K15" s="122"/>
      <c r="L15" s="17"/>
      <c r="M15" s="25"/>
      <c r="O15" s="25"/>
      <c r="Q15" s="25"/>
    </row>
    <row r="16" spans="2:26" x14ac:dyDescent="0.35">
      <c r="B16" s="19" t="s">
        <v>39</v>
      </c>
      <c r="C16" s="47">
        <v>0</v>
      </c>
      <c r="D16" s="59">
        <v>5.2049999999999999E-2</v>
      </c>
      <c r="E16" s="56">
        <v>0.03</v>
      </c>
      <c r="F16" s="56">
        <v>0</v>
      </c>
      <c r="H16" s="17"/>
      <c r="I16" s="34" t="s">
        <v>1</v>
      </c>
      <c r="J16" s="117">
        <v>0.13761467889908252</v>
      </c>
      <c r="K16" s="118"/>
      <c r="L16" s="117">
        <v>0.16853932584269657</v>
      </c>
      <c r="M16" s="118"/>
      <c r="N16" s="123">
        <f>IF('Calcul longévité'!U11&gt;0,'Calcul longévité'!U11,0)</f>
        <v>0.18292682926829271</v>
      </c>
      <c r="O16" s="118"/>
      <c r="P16" s="123">
        <f>IF('Calcul longévité'!U36&gt;0,'Calcul longévité'!U36,0)</f>
        <v>0.19480519480519479</v>
      </c>
      <c r="Q16" s="118"/>
    </row>
    <row r="17" spans="1:17" x14ac:dyDescent="0.35">
      <c r="E17" s="49"/>
      <c r="H17" s="17"/>
      <c r="I17" s="34" t="s">
        <v>2</v>
      </c>
      <c r="J17" s="117">
        <v>9.3023255813953445E-2</v>
      </c>
      <c r="K17" s="118"/>
      <c r="L17" s="117">
        <v>0.10256410256410253</v>
      </c>
      <c r="M17" s="118"/>
      <c r="N17" s="117">
        <f>IF('Calcul longévité'!U12&gt;0,'Calcul longévité'!U12,0)</f>
        <v>0.11049723756906076</v>
      </c>
      <c r="O17" s="118"/>
      <c r="P17" s="117">
        <f>IF('Calcul longévité'!U37&gt;0,'Calcul longévité'!U37,0)</f>
        <v>0.11695906432748537</v>
      </c>
      <c r="Q17" s="118"/>
    </row>
    <row r="18" spans="1:17" x14ac:dyDescent="0.35">
      <c r="D18" s="43"/>
      <c r="H18" s="17"/>
      <c r="I18" s="34" t="s">
        <v>3</v>
      </c>
      <c r="J18" s="117">
        <v>4.8239266763145189E-2</v>
      </c>
      <c r="K18" s="118"/>
      <c r="L18" s="117">
        <v>4.8239266763145189E-2</v>
      </c>
      <c r="M18" s="118"/>
      <c r="N18" s="117">
        <f>IF('Calcul longévité'!U13&gt;0,'Calcul longévité'!U13,0)</f>
        <v>4.9188391539596657E-2</v>
      </c>
      <c r="O18" s="118"/>
      <c r="P18" s="117">
        <f>IF('Calcul longévité'!U38&gt;0,'Calcul longévité'!U38,0)</f>
        <v>4.9188391539596657E-2</v>
      </c>
      <c r="Q18" s="118"/>
    </row>
    <row r="19" spans="1:17" x14ac:dyDescent="0.35">
      <c r="D19" s="43"/>
      <c r="H19" s="17"/>
      <c r="I19" s="34" t="s">
        <v>4</v>
      </c>
      <c r="J19" s="117">
        <v>0</v>
      </c>
      <c r="K19" s="118"/>
      <c r="L19" s="117">
        <v>0</v>
      </c>
      <c r="M19" s="118"/>
      <c r="N19" s="117">
        <f>IF('Calcul longévité'!U14&gt;0,'Calcul longévité'!U14,0)</f>
        <v>0</v>
      </c>
      <c r="O19" s="118"/>
      <c r="P19" s="117">
        <f>IF('Calcul longévité'!U39&gt;0,'Calcul longévité'!U39,0)</f>
        <v>0</v>
      </c>
      <c r="Q19" s="118"/>
    </row>
    <row r="20" spans="1:17" ht="15" thickBot="1" x14ac:dyDescent="0.4">
      <c r="D20" s="60"/>
      <c r="H20" s="26"/>
      <c r="I20" s="27" t="s">
        <v>5</v>
      </c>
      <c r="J20" s="119">
        <v>0</v>
      </c>
      <c r="K20" s="120"/>
      <c r="L20" s="119">
        <v>0</v>
      </c>
      <c r="M20" s="120"/>
      <c r="N20" s="119">
        <f>IF('Calcul longévité'!U15&gt;0,'Calcul longévité'!U15,0)</f>
        <v>0</v>
      </c>
      <c r="O20" s="120"/>
      <c r="P20" s="119">
        <f>IF('Calcul longévité'!U40&gt;0,'Calcul longévité'!U40,0)</f>
        <v>0</v>
      </c>
      <c r="Q20" s="120"/>
    </row>
    <row r="21" spans="1:17" ht="15" thickBot="1" x14ac:dyDescent="0.4">
      <c r="D21" s="60"/>
    </row>
    <row r="22" spans="1:17" ht="18.5" x14ac:dyDescent="0.35">
      <c r="D22" s="60"/>
      <c r="F22" s="24"/>
      <c r="G22" s="24"/>
      <c r="H22" s="24"/>
      <c r="I22" s="65"/>
      <c r="J22" s="111" t="s">
        <v>74</v>
      </c>
      <c r="K22" s="112"/>
      <c r="L22" s="112"/>
      <c r="M22" s="112"/>
      <c r="N22" s="112"/>
      <c r="O22" s="113"/>
    </row>
    <row r="23" spans="1:17" ht="14.5" customHeight="1" thickBot="1" x14ac:dyDescent="0.4">
      <c r="J23" s="114"/>
      <c r="K23" s="115"/>
      <c r="L23" s="115"/>
      <c r="M23" s="115"/>
      <c r="N23" s="115"/>
      <c r="O23" s="116"/>
    </row>
    <row r="24" spans="1:17" x14ac:dyDescent="0.35">
      <c r="A24" s="18" t="s">
        <v>34</v>
      </c>
      <c r="B24" s="20" t="s">
        <v>66</v>
      </c>
      <c r="C24" s="20"/>
      <c r="D24">
        <v>3</v>
      </c>
      <c r="E24" t="s">
        <v>1</v>
      </c>
    </row>
    <row r="25" spans="1:17" x14ac:dyDescent="0.35">
      <c r="D25">
        <v>2</v>
      </c>
      <c r="E25" t="s">
        <v>2</v>
      </c>
    </row>
    <row r="26" spans="1:17" x14ac:dyDescent="0.35">
      <c r="B26" s="39"/>
      <c r="C26" s="39"/>
      <c r="D26">
        <v>1</v>
      </c>
      <c r="E26" t="s">
        <v>3</v>
      </c>
    </row>
    <row r="27" spans="1:17" x14ac:dyDescent="0.35">
      <c r="D27">
        <v>0</v>
      </c>
      <c r="E27" t="s">
        <v>4</v>
      </c>
    </row>
    <row r="28" spans="1:17" x14ac:dyDescent="0.35">
      <c r="D28">
        <v>0</v>
      </c>
      <c r="E28" t="s">
        <v>5</v>
      </c>
    </row>
    <row r="29" spans="1:17" x14ac:dyDescent="0.35">
      <c r="B29" s="20" t="s">
        <v>67</v>
      </c>
      <c r="C29" s="20"/>
      <c r="D29" s="14">
        <v>0.3</v>
      </c>
      <c r="E29" t="s">
        <v>1</v>
      </c>
    </row>
    <row r="30" spans="1:17" x14ac:dyDescent="0.35">
      <c r="D30" s="14">
        <v>0.15</v>
      </c>
      <c r="E30" t="s">
        <v>2</v>
      </c>
    </row>
    <row r="31" spans="1:17" x14ac:dyDescent="0.35">
      <c r="D31" s="61">
        <v>7.4999999999999997E-2</v>
      </c>
      <c r="E31" t="s">
        <v>3</v>
      </c>
    </row>
    <row r="32" spans="1:17" x14ac:dyDescent="0.35">
      <c r="B32" s="37"/>
      <c r="D32" s="61">
        <v>0</v>
      </c>
      <c r="E32" t="s">
        <v>4</v>
      </c>
    </row>
    <row r="33" spans="2:5" x14ac:dyDescent="0.35">
      <c r="D33" s="61">
        <v>0</v>
      </c>
      <c r="E33" t="s">
        <v>5</v>
      </c>
    </row>
    <row r="34" spans="2:5" ht="30.75" customHeight="1" x14ac:dyDescent="0.35">
      <c r="B34" s="20" t="s">
        <v>75</v>
      </c>
      <c r="C34" s="20"/>
    </row>
  </sheetData>
  <sheetProtection algorithmName="SHA-512" hashValue="4gYrcsd+oyDKDuGIrEajriLqXGR8uSbq8302obCiQIVjaM/9DMQY+qt8Ql4J9zA3Wk7vFTMyzKaBhQtWeClBpQ==" saltValue="9OcWEhrwImTSfdUm+57azA==" spinCount="100000" sheet="1" objects="1" scenarios="1"/>
  <mergeCells count="49">
    <mergeCell ref="N20:O20"/>
    <mergeCell ref="P4:Q4"/>
    <mergeCell ref="P5:Q5"/>
    <mergeCell ref="P6:Q6"/>
    <mergeCell ref="P7:Q7"/>
    <mergeCell ref="P8:Q8"/>
    <mergeCell ref="P16:Q16"/>
    <mergeCell ref="P17:Q17"/>
    <mergeCell ref="P18:Q18"/>
    <mergeCell ref="P19:Q19"/>
    <mergeCell ref="P20:Q20"/>
    <mergeCell ref="N6:O6"/>
    <mergeCell ref="N7:O7"/>
    <mergeCell ref="P3:Q3"/>
    <mergeCell ref="N4:O4"/>
    <mergeCell ref="N5:O5"/>
    <mergeCell ref="L18:M18"/>
    <mergeCell ref="L19:M19"/>
    <mergeCell ref="N8:O8"/>
    <mergeCell ref="N16:O16"/>
    <mergeCell ref="N17:O17"/>
    <mergeCell ref="L3:M3"/>
    <mergeCell ref="N3:O3"/>
    <mergeCell ref="N18:O18"/>
    <mergeCell ref="N19:O19"/>
    <mergeCell ref="L20:M20"/>
    <mergeCell ref="J7:K7"/>
    <mergeCell ref="J8:K8"/>
    <mergeCell ref="L6:M6"/>
    <mergeCell ref="L7:M7"/>
    <mergeCell ref="L8:M8"/>
    <mergeCell ref="L16:M16"/>
    <mergeCell ref="L17:M17"/>
    <mergeCell ref="B2:C2"/>
    <mergeCell ref="J22:O23"/>
    <mergeCell ref="H9:K9"/>
    <mergeCell ref="H15:K15"/>
    <mergeCell ref="J16:K16"/>
    <mergeCell ref="J3:K3"/>
    <mergeCell ref="H4:I4"/>
    <mergeCell ref="J4:K4"/>
    <mergeCell ref="J5:K5"/>
    <mergeCell ref="J6:K6"/>
    <mergeCell ref="J17:K17"/>
    <mergeCell ref="J18:K18"/>
    <mergeCell ref="J19:K19"/>
    <mergeCell ref="J20:K20"/>
    <mergeCell ref="L4:M4"/>
    <mergeCell ref="L5:M5"/>
  </mergeCells>
  <pageMargins left="0.7" right="0.7" top="0.75" bottom="0.75" header="0.3" footer="0.3"/>
  <pageSetup paperSize="9" orientation="portrait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2:V41"/>
  <sheetViews>
    <sheetView workbookViewId="0">
      <selection activeCell="C8" sqref="C8"/>
    </sheetView>
  </sheetViews>
  <sheetFormatPr baseColWidth="10" defaultRowHeight="14.5" x14ac:dyDescent="0.35"/>
  <cols>
    <col min="1" max="1" width="10.90625" customWidth="1"/>
    <col min="2" max="2" width="21.453125" customWidth="1"/>
    <col min="3" max="3" width="28.7265625" customWidth="1"/>
    <col min="5" max="6" width="13.453125" customWidth="1"/>
    <col min="8" max="8" width="24.08984375" customWidth="1"/>
    <col min="9" max="9" width="18.90625" customWidth="1"/>
  </cols>
  <sheetData>
    <row r="2" spans="1:22" ht="15.5" x14ac:dyDescent="0.35">
      <c r="B2" s="140" t="s">
        <v>72</v>
      </c>
      <c r="C2" s="140"/>
    </row>
    <row r="3" spans="1:22" x14ac:dyDescent="0.35">
      <c r="H3" s="28" t="s">
        <v>22</v>
      </c>
    </row>
    <row r="4" spans="1:22" ht="16" thickBot="1" x14ac:dyDescent="0.4">
      <c r="B4" t="s">
        <v>0</v>
      </c>
      <c r="C4" t="s">
        <v>65</v>
      </c>
      <c r="D4" s="31" t="s">
        <v>52</v>
      </c>
      <c r="E4" s="31" t="s">
        <v>53</v>
      </c>
      <c r="F4" s="41"/>
      <c r="J4" s="140" t="s">
        <v>61</v>
      </c>
      <c r="K4" s="140"/>
      <c r="L4" s="140" t="s">
        <v>52</v>
      </c>
      <c r="M4" s="140"/>
      <c r="N4" s="140" t="s">
        <v>53</v>
      </c>
      <c r="O4" s="140"/>
      <c r="R4" s="71"/>
      <c r="S4" s="71" t="s">
        <v>61</v>
      </c>
      <c r="T4" s="71" t="s">
        <v>52</v>
      </c>
      <c r="U4" s="71" t="s">
        <v>53</v>
      </c>
    </row>
    <row r="5" spans="1:22" x14ac:dyDescent="0.35">
      <c r="B5" s="13" t="s">
        <v>48</v>
      </c>
      <c r="C5" s="13"/>
      <c r="D5" s="32"/>
      <c r="E5" s="32"/>
      <c r="H5" s="135" t="s">
        <v>54</v>
      </c>
      <c r="I5" s="136"/>
      <c r="J5" s="126">
        <v>484.11052332081448</v>
      </c>
      <c r="K5" s="127"/>
      <c r="L5" s="126">
        <f>'Calcul anticipation'!Q8/45</f>
        <v>289.58505357923588</v>
      </c>
      <c r="M5" s="127"/>
      <c r="N5" s="126">
        <f>'Calcul anticipation'!Q33/45</f>
        <v>211.77486568260454</v>
      </c>
      <c r="O5" s="127"/>
      <c r="P5" s="42"/>
      <c r="R5" s="71" t="s">
        <v>1</v>
      </c>
      <c r="S5" s="75">
        <f>J17</f>
        <v>0.16853932584269657</v>
      </c>
      <c r="T5" s="75">
        <f>L17</f>
        <v>0.16853932584269657</v>
      </c>
      <c r="U5" s="75">
        <f>N17</f>
        <v>0.16853932584269657</v>
      </c>
    </row>
    <row r="6" spans="1:22" x14ac:dyDescent="0.35">
      <c r="B6" t="s">
        <v>35</v>
      </c>
      <c r="C6" s="2">
        <v>0</v>
      </c>
      <c r="D6" s="23">
        <v>0.5</v>
      </c>
      <c r="E6" s="23">
        <v>0.7</v>
      </c>
      <c r="F6" s="40"/>
      <c r="H6" s="33" t="s">
        <v>44</v>
      </c>
      <c r="I6" s="13" t="s">
        <v>32</v>
      </c>
      <c r="J6" s="117">
        <v>9.9913041612669697E-3</v>
      </c>
      <c r="K6" s="118"/>
      <c r="L6" s="117">
        <f>'Calcul anticipation'!L14</f>
        <v>5.976594623516498E-3</v>
      </c>
      <c r="M6" s="118"/>
      <c r="N6" s="123">
        <f>'Calcul anticipation'!L39</f>
        <v>4.3707108084163103E-3</v>
      </c>
      <c r="O6" s="118"/>
      <c r="R6" s="71" t="s">
        <v>2</v>
      </c>
      <c r="S6" s="75">
        <f t="shared" ref="S6:S7" si="0">J18</f>
        <v>0.10256410256410253</v>
      </c>
      <c r="T6" s="75">
        <f t="shared" ref="T6:T7" si="1">L18</f>
        <v>0.10256410256410253</v>
      </c>
      <c r="U6" s="75">
        <f t="shared" ref="U6:U7" si="2">N18</f>
        <v>0.10256410256410253</v>
      </c>
    </row>
    <row r="7" spans="1:22" x14ac:dyDescent="0.35">
      <c r="B7" t="s">
        <v>36</v>
      </c>
      <c r="C7" s="2">
        <v>0</v>
      </c>
      <c r="D7" s="23">
        <v>0.25</v>
      </c>
      <c r="E7" s="23">
        <v>0.35</v>
      </c>
      <c r="F7" s="40"/>
      <c r="H7" s="17"/>
      <c r="I7" s="13" t="s">
        <v>33</v>
      </c>
      <c r="J7" s="117">
        <v>4.688663527802122E-2</v>
      </c>
      <c r="K7" s="118"/>
      <c r="L7" s="117">
        <f>'Calcul anticipation'!L15</f>
        <v>2.804663012900073E-2</v>
      </c>
      <c r="M7" s="118"/>
      <c r="N7" s="123">
        <f>'Calcul anticipation'!L40</f>
        <v>2.0510628069392543E-2</v>
      </c>
      <c r="O7" s="118"/>
      <c r="R7" s="71" t="s">
        <v>3</v>
      </c>
      <c r="S7" s="75">
        <f t="shared" si="0"/>
        <v>4.8239266763145189E-2</v>
      </c>
      <c r="T7" s="75">
        <f t="shared" si="1"/>
        <v>4.8239266763145189E-2</v>
      </c>
      <c r="U7" s="75">
        <f t="shared" si="2"/>
        <v>4.8239266763145189E-2</v>
      </c>
    </row>
    <row r="8" spans="1:22" x14ac:dyDescent="0.35">
      <c r="B8" t="s">
        <v>37</v>
      </c>
      <c r="C8" s="2">
        <v>0</v>
      </c>
      <c r="D8" s="23">
        <v>0.125</v>
      </c>
      <c r="E8" s="23">
        <v>0.17499999999999999</v>
      </c>
      <c r="F8" s="40"/>
      <c r="H8" s="17"/>
      <c r="J8" s="124"/>
      <c r="K8" s="125"/>
      <c r="L8" s="124"/>
      <c r="M8" s="125"/>
      <c r="N8" s="110"/>
      <c r="O8" s="125"/>
      <c r="R8" s="71" t="s">
        <v>4</v>
      </c>
      <c r="S8" s="75">
        <f>-J6</f>
        <v>-9.9913041612669697E-3</v>
      </c>
      <c r="T8" s="75">
        <f>-L6</f>
        <v>-5.976594623516498E-3</v>
      </c>
      <c r="U8" s="75">
        <f>-N6</f>
        <v>-4.3707108084163103E-3</v>
      </c>
    </row>
    <row r="9" spans="1:22" x14ac:dyDescent="0.35">
      <c r="B9" t="s">
        <v>38</v>
      </c>
      <c r="C9" s="2">
        <v>0</v>
      </c>
      <c r="D9" s="23">
        <v>0</v>
      </c>
      <c r="E9" s="23">
        <v>0</v>
      </c>
      <c r="F9" s="40"/>
      <c r="H9" s="33" t="s">
        <v>45</v>
      </c>
      <c r="I9" s="13" t="s">
        <v>33</v>
      </c>
      <c r="J9" s="117">
        <v>5.4619836401248401E-2</v>
      </c>
      <c r="K9" s="118"/>
      <c r="L9" s="117">
        <f>'Calcul anticipation'!L22</f>
        <v>3.2672473513373337E-2</v>
      </c>
      <c r="M9" s="118"/>
      <c r="N9" s="123">
        <f>'Calcul anticipation'!L47</f>
        <v>2.3893528358223323E-2</v>
      </c>
      <c r="O9" s="118"/>
      <c r="R9" s="71" t="s">
        <v>5</v>
      </c>
      <c r="S9" s="75">
        <f>-J7</f>
        <v>-4.688663527802122E-2</v>
      </c>
      <c r="T9" s="75">
        <f>-L7</f>
        <v>-2.804663012900073E-2</v>
      </c>
      <c r="U9" s="75">
        <f>-N7</f>
        <v>-2.0510628069392543E-2</v>
      </c>
    </row>
    <row r="10" spans="1:22" x14ac:dyDescent="0.35">
      <c r="B10" t="s">
        <v>39</v>
      </c>
      <c r="C10" s="2">
        <v>0</v>
      </c>
      <c r="D10" s="23">
        <v>0</v>
      </c>
      <c r="E10" s="23">
        <v>0</v>
      </c>
      <c r="F10" s="40"/>
      <c r="H10" s="121" t="s">
        <v>60</v>
      </c>
      <c r="I10" s="122"/>
      <c r="J10" s="122"/>
      <c r="K10" s="122"/>
      <c r="L10" s="17"/>
      <c r="M10" s="25"/>
      <c r="O10" s="25"/>
      <c r="Q10" s="71"/>
      <c r="R10" s="71" t="s">
        <v>78</v>
      </c>
      <c r="S10" s="71" t="s">
        <v>61</v>
      </c>
      <c r="T10" s="71" t="s">
        <v>52</v>
      </c>
      <c r="U10" s="71" t="s">
        <v>53</v>
      </c>
      <c r="V10" s="71"/>
    </row>
    <row r="11" spans="1:22" x14ac:dyDescent="0.35">
      <c r="H11" s="17"/>
      <c r="I11" s="34" t="s">
        <v>1</v>
      </c>
      <c r="J11" s="36">
        <v>63.6</v>
      </c>
      <c r="K11" s="35">
        <v>62.7</v>
      </c>
      <c r="L11" s="36">
        <v>63.6</v>
      </c>
      <c r="M11" s="29">
        <f>'Calcul anticipation'!R2</f>
        <v>62.7</v>
      </c>
      <c r="N11" s="35">
        <v>63.6</v>
      </c>
      <c r="O11" s="29">
        <f>'Calcul anticipation'!R27</f>
        <v>62.7</v>
      </c>
      <c r="Q11" s="71" t="str">
        <f>I11</f>
        <v>Q1</v>
      </c>
      <c r="R11" s="74">
        <f>J11</f>
        <v>63.6</v>
      </c>
      <c r="S11" s="74">
        <f>K11</f>
        <v>62.7</v>
      </c>
      <c r="T11" s="74">
        <f>M11</f>
        <v>62.7</v>
      </c>
      <c r="U11" s="74">
        <f>O11</f>
        <v>62.7</v>
      </c>
      <c r="V11" s="71"/>
    </row>
    <row r="12" spans="1:22" x14ac:dyDescent="0.35">
      <c r="C12" s="38"/>
      <c r="H12" s="17"/>
      <c r="I12" s="34" t="s">
        <v>2</v>
      </c>
      <c r="J12" s="36">
        <v>63.9</v>
      </c>
      <c r="K12" s="35">
        <v>63.6</v>
      </c>
      <c r="L12" s="36">
        <v>63.9</v>
      </c>
      <c r="M12" s="29">
        <f>'Calcul anticipation'!R3</f>
        <v>63.6</v>
      </c>
      <c r="N12" s="35">
        <v>63.9</v>
      </c>
      <c r="O12" s="29">
        <f>'Calcul anticipation'!R28</f>
        <v>63.6</v>
      </c>
      <c r="Q12" s="71" t="str">
        <f t="shared" ref="Q12:Q15" si="3">I12</f>
        <v>Q2</v>
      </c>
      <c r="R12" s="74">
        <f t="shared" ref="R12:S15" si="4">J12</f>
        <v>63.9</v>
      </c>
      <c r="S12" s="74">
        <f t="shared" si="4"/>
        <v>63.6</v>
      </c>
      <c r="T12" s="74">
        <f>M12</f>
        <v>63.6</v>
      </c>
      <c r="U12" s="74">
        <f>O12</f>
        <v>63.6</v>
      </c>
      <c r="V12" s="71"/>
    </row>
    <row r="13" spans="1:22" x14ac:dyDescent="0.35">
      <c r="A13" s="18" t="s">
        <v>50</v>
      </c>
      <c r="B13" s="139"/>
      <c r="C13" s="139"/>
      <c r="D13" s="139"/>
      <c r="H13" s="17"/>
      <c r="I13" s="34" t="s">
        <v>3</v>
      </c>
      <c r="J13" s="17">
        <v>64.67</v>
      </c>
      <c r="K13">
        <v>64.594999999999999</v>
      </c>
      <c r="L13" s="17">
        <v>64.67</v>
      </c>
      <c r="M13" s="25">
        <f>'Calcul anticipation'!R4</f>
        <v>64.594999999999999</v>
      </c>
      <c r="N13">
        <v>64.67</v>
      </c>
      <c r="O13" s="29">
        <f>'Calcul anticipation'!R29</f>
        <v>64.594999999999999</v>
      </c>
      <c r="Q13" s="71" t="str">
        <f t="shared" si="3"/>
        <v>Q3</v>
      </c>
      <c r="R13" s="74">
        <f t="shared" si="4"/>
        <v>64.67</v>
      </c>
      <c r="S13" s="74">
        <f t="shared" si="4"/>
        <v>64.594999999999999</v>
      </c>
      <c r="T13" s="74">
        <f>M13</f>
        <v>64.594999999999999</v>
      </c>
      <c r="U13" s="74">
        <f>O13</f>
        <v>64.594999999999999</v>
      </c>
      <c r="V13" s="71"/>
    </row>
    <row r="14" spans="1:22" x14ac:dyDescent="0.35">
      <c r="B14" s="32" t="s">
        <v>68</v>
      </c>
      <c r="C14" s="32"/>
      <c r="D14" s="14">
        <v>0.2082</v>
      </c>
      <c r="E14" s="57" t="s">
        <v>1</v>
      </c>
      <c r="H14" s="17"/>
      <c r="I14" s="34" t="s">
        <v>4</v>
      </c>
      <c r="J14" s="17">
        <v>65.59</v>
      </c>
      <c r="K14">
        <v>65.59</v>
      </c>
      <c r="L14" s="17">
        <v>65.59</v>
      </c>
      <c r="M14" s="25">
        <f>'Calcul anticipation'!R5</f>
        <v>65.59</v>
      </c>
      <c r="N14">
        <v>65.59</v>
      </c>
      <c r="O14" s="29">
        <f>'Calcul anticipation'!R30</f>
        <v>65.59</v>
      </c>
      <c r="Q14" s="71" t="str">
        <f t="shared" si="3"/>
        <v>Q4</v>
      </c>
      <c r="R14" s="74">
        <f t="shared" si="4"/>
        <v>65.59</v>
      </c>
      <c r="S14" s="74">
        <f t="shared" si="4"/>
        <v>65.59</v>
      </c>
      <c r="T14" s="74">
        <f>M14</f>
        <v>65.59</v>
      </c>
      <c r="U14" s="74">
        <f>O14</f>
        <v>65.59</v>
      </c>
      <c r="V14" s="71"/>
    </row>
    <row r="15" spans="1:22" x14ac:dyDescent="0.35">
      <c r="D15" s="14">
        <v>0.15615000000000001</v>
      </c>
      <c r="E15" s="57" t="s">
        <v>2</v>
      </c>
      <c r="H15" s="17"/>
      <c r="I15" s="34" t="s">
        <v>5</v>
      </c>
      <c r="J15" s="17">
        <v>67.349999999999994</v>
      </c>
      <c r="K15">
        <v>67.349999999999994</v>
      </c>
      <c r="L15" s="17">
        <v>67.349999999999994</v>
      </c>
      <c r="M15" s="25">
        <f>'Calcul anticipation'!R6</f>
        <v>67.349999999999994</v>
      </c>
      <c r="N15">
        <v>67.349999999999994</v>
      </c>
      <c r="O15" s="29">
        <f>'Calcul anticipation'!R31</f>
        <v>67.349999999999994</v>
      </c>
      <c r="Q15" s="71" t="str">
        <f t="shared" si="3"/>
        <v>Q5</v>
      </c>
      <c r="R15" s="74">
        <f t="shared" si="4"/>
        <v>67.349999999999994</v>
      </c>
      <c r="S15" s="74">
        <f t="shared" si="4"/>
        <v>67.349999999999994</v>
      </c>
      <c r="T15" s="74">
        <f>M15</f>
        <v>67.349999999999994</v>
      </c>
      <c r="U15" s="74">
        <f>O15</f>
        <v>67.349999999999994</v>
      </c>
      <c r="V15" s="71"/>
    </row>
    <row r="16" spans="1:22" x14ac:dyDescent="0.35">
      <c r="D16" s="14">
        <v>0.1041</v>
      </c>
      <c r="E16" s="57" t="s">
        <v>3</v>
      </c>
      <c r="H16" s="121" t="s">
        <v>59</v>
      </c>
      <c r="I16" s="122"/>
      <c r="J16" s="122"/>
      <c r="K16" s="122"/>
      <c r="L16" s="17"/>
      <c r="M16" s="25"/>
      <c r="O16" s="25"/>
    </row>
    <row r="17" spans="2:21" x14ac:dyDescent="0.35">
      <c r="D17" s="14">
        <v>7.8075000000000006E-2</v>
      </c>
      <c r="E17" s="57" t="s">
        <v>4</v>
      </c>
      <c r="H17" s="17"/>
      <c r="I17" s="34" t="s">
        <v>1</v>
      </c>
      <c r="J17" s="117">
        <v>0.16853932584269657</v>
      </c>
      <c r="K17" s="118"/>
      <c r="L17" s="117">
        <f>'Calcul anticipation'!U2</f>
        <v>0.16853932584269657</v>
      </c>
      <c r="M17" s="118"/>
      <c r="N17" s="123">
        <f>'Calcul anticipation'!U27</f>
        <v>0.16853932584269657</v>
      </c>
      <c r="O17" s="118"/>
    </row>
    <row r="18" spans="2:21" x14ac:dyDescent="0.35">
      <c r="D18" s="14">
        <v>5.2049999999999999E-2</v>
      </c>
      <c r="E18" s="57" t="s">
        <v>5</v>
      </c>
      <c r="H18" s="17"/>
      <c r="I18" s="34" t="s">
        <v>2</v>
      </c>
      <c r="J18" s="117">
        <v>0.10256410256410253</v>
      </c>
      <c r="K18" s="118"/>
      <c r="L18" s="117">
        <f>'Calcul anticipation'!U3</f>
        <v>0.10256410256410253</v>
      </c>
      <c r="M18" s="118"/>
      <c r="N18" s="117">
        <f>'Calcul anticipation'!U28</f>
        <v>0.10256410256410253</v>
      </c>
      <c r="O18" s="118"/>
    </row>
    <row r="19" spans="2:21" x14ac:dyDescent="0.35">
      <c r="B19" s="32" t="s">
        <v>51</v>
      </c>
      <c r="C19" s="32"/>
      <c r="D19" s="22">
        <v>81.400000000000006</v>
      </c>
      <c r="E19" s="57" t="s">
        <v>1</v>
      </c>
      <c r="H19" s="17"/>
      <c r="I19" s="34" t="s">
        <v>3</v>
      </c>
      <c r="J19" s="117">
        <v>4.8239266763145189E-2</v>
      </c>
      <c r="K19" s="118"/>
      <c r="L19" s="117">
        <f>'Calcul anticipation'!U4</f>
        <v>4.8239266763145189E-2</v>
      </c>
      <c r="M19" s="118"/>
      <c r="N19" s="117">
        <f>'Calcul anticipation'!U29</f>
        <v>4.8239266763145189E-2</v>
      </c>
      <c r="O19" s="118"/>
    </row>
    <row r="20" spans="2:21" x14ac:dyDescent="0.35">
      <c r="D20">
        <v>83.4</v>
      </c>
      <c r="E20" s="57" t="s">
        <v>2</v>
      </c>
      <c r="H20" s="17"/>
      <c r="I20" s="34" t="s">
        <v>4</v>
      </c>
      <c r="J20" s="117">
        <v>0</v>
      </c>
      <c r="K20" s="118"/>
      <c r="L20" s="117">
        <f>'Calcul anticipation'!U5</f>
        <v>0</v>
      </c>
      <c r="M20" s="118"/>
      <c r="N20" s="117">
        <f>'Calcul anticipation'!U30</f>
        <v>0</v>
      </c>
      <c r="O20" s="118"/>
    </row>
    <row r="21" spans="2:21" ht="15" thickBot="1" x14ac:dyDescent="0.4">
      <c r="D21">
        <v>85.4</v>
      </c>
      <c r="E21" s="57" t="s">
        <v>3</v>
      </c>
      <c r="H21" s="26"/>
      <c r="I21" s="27" t="s">
        <v>5</v>
      </c>
      <c r="J21" s="119">
        <v>0</v>
      </c>
      <c r="K21" s="120"/>
      <c r="L21" s="119">
        <f>'Calcul anticipation'!U6</f>
        <v>0</v>
      </c>
      <c r="M21" s="120"/>
      <c r="N21" s="119">
        <f>'Calcul anticipation'!U31</f>
        <v>0</v>
      </c>
      <c r="O21" s="120"/>
    </row>
    <row r="22" spans="2:21" ht="15.5" x14ac:dyDescent="0.35">
      <c r="D22">
        <v>87.4</v>
      </c>
      <c r="E22" s="57" t="s">
        <v>4</v>
      </c>
      <c r="N22" s="147"/>
      <c r="O22" s="147"/>
    </row>
    <row r="23" spans="2:21" ht="15" thickBot="1" x14ac:dyDescent="0.4">
      <c r="D23">
        <v>89.4</v>
      </c>
      <c r="E23" s="57" t="s">
        <v>5</v>
      </c>
    </row>
    <row r="24" spans="2:21" ht="14.4" customHeight="1" x14ac:dyDescent="0.35">
      <c r="B24" s="32" t="s">
        <v>66</v>
      </c>
      <c r="C24" s="32"/>
      <c r="D24">
        <v>3</v>
      </c>
      <c r="E24" s="57" t="s">
        <v>1</v>
      </c>
      <c r="J24" s="141" t="s">
        <v>74</v>
      </c>
      <c r="K24" s="142"/>
      <c r="L24" s="142"/>
      <c r="M24" s="142"/>
      <c r="N24" s="142"/>
      <c r="O24" s="143"/>
    </row>
    <row r="25" spans="2:21" ht="15" thickBot="1" x14ac:dyDescent="0.4">
      <c r="D25">
        <v>2</v>
      </c>
      <c r="E25" s="57" t="s">
        <v>2</v>
      </c>
      <c r="J25" s="144"/>
      <c r="K25" s="145"/>
      <c r="L25" s="145"/>
      <c r="M25" s="145"/>
      <c r="N25" s="145"/>
      <c r="O25" s="146"/>
      <c r="P25" s="77"/>
    </row>
    <row r="26" spans="2:21" x14ac:dyDescent="0.35">
      <c r="B26" s="39"/>
      <c r="C26" s="39"/>
      <c r="D26">
        <v>1</v>
      </c>
      <c r="E26" s="57" t="s">
        <v>3</v>
      </c>
      <c r="P26" s="123"/>
      <c r="Q26" s="123"/>
      <c r="R26" s="123"/>
      <c r="S26" s="123"/>
      <c r="T26" s="123"/>
      <c r="U26" s="123"/>
    </row>
    <row r="27" spans="2:21" x14ac:dyDescent="0.35">
      <c r="D27">
        <v>0</v>
      </c>
      <c r="E27" s="57" t="s">
        <v>4</v>
      </c>
      <c r="P27" s="123"/>
      <c r="Q27" s="123"/>
      <c r="R27" s="123"/>
      <c r="S27" s="123"/>
      <c r="T27" s="123"/>
      <c r="U27" s="123"/>
    </row>
    <row r="28" spans="2:21" x14ac:dyDescent="0.35">
      <c r="D28">
        <v>0</v>
      </c>
      <c r="E28" s="57" t="s">
        <v>5</v>
      </c>
      <c r="P28" s="110"/>
      <c r="Q28" s="110"/>
      <c r="R28" s="110"/>
      <c r="S28" s="110"/>
      <c r="T28" s="110"/>
      <c r="U28" s="110"/>
    </row>
    <row r="29" spans="2:21" x14ac:dyDescent="0.35">
      <c r="B29" s="32" t="s">
        <v>67</v>
      </c>
      <c r="C29" s="32"/>
      <c r="D29" s="14">
        <v>0.3</v>
      </c>
      <c r="E29" s="57" t="s">
        <v>1</v>
      </c>
      <c r="P29" s="123"/>
      <c r="Q29" s="123"/>
      <c r="R29" s="123"/>
      <c r="S29" s="123"/>
      <c r="T29" s="123"/>
      <c r="U29" s="123"/>
    </row>
    <row r="30" spans="2:21" x14ac:dyDescent="0.35">
      <c r="D30" s="14">
        <f>0.5*D29</f>
        <v>0.15</v>
      </c>
      <c r="E30" s="57" t="s">
        <v>2</v>
      </c>
      <c r="N30" s="110"/>
      <c r="O30" s="110"/>
      <c r="P30" s="110"/>
      <c r="Q30" s="110"/>
    </row>
    <row r="31" spans="2:21" x14ac:dyDescent="0.35">
      <c r="D31" s="14">
        <f t="shared" ref="D31" si="5">0.5*D30</f>
        <v>7.4999999999999997E-2</v>
      </c>
      <c r="E31" s="57" t="s">
        <v>3</v>
      </c>
      <c r="O31" s="24"/>
      <c r="P31" s="35"/>
      <c r="Q31" s="35"/>
      <c r="R31" s="35"/>
      <c r="S31" s="35"/>
      <c r="T31" s="35"/>
      <c r="U31" s="35"/>
    </row>
    <row r="32" spans="2:21" x14ac:dyDescent="0.35">
      <c r="B32" s="37"/>
      <c r="D32" s="14">
        <v>0</v>
      </c>
      <c r="E32" s="57" t="s">
        <v>4</v>
      </c>
      <c r="O32" s="24"/>
      <c r="P32" s="35"/>
      <c r="Q32" s="35"/>
      <c r="R32" s="35"/>
      <c r="S32" s="35"/>
      <c r="T32" s="35"/>
      <c r="U32" s="35"/>
    </row>
    <row r="33" spans="4:21" x14ac:dyDescent="0.35">
      <c r="D33" s="14">
        <v>0</v>
      </c>
      <c r="E33" s="57" t="s">
        <v>5</v>
      </c>
      <c r="O33" s="24"/>
      <c r="U33" s="35"/>
    </row>
    <row r="34" spans="4:21" x14ac:dyDescent="0.35">
      <c r="O34" s="24"/>
      <c r="U34" s="35"/>
    </row>
    <row r="35" spans="4:21" ht="34.5" customHeight="1" x14ac:dyDescent="0.35">
      <c r="O35" s="24"/>
      <c r="U35" s="35"/>
    </row>
    <row r="36" spans="4:21" x14ac:dyDescent="0.35">
      <c r="N36" s="110"/>
      <c r="O36" s="110"/>
      <c r="P36" s="110"/>
      <c r="Q36" s="110"/>
    </row>
    <row r="37" spans="4:21" x14ac:dyDescent="0.35">
      <c r="O37" s="24"/>
      <c r="P37" s="123"/>
      <c r="Q37" s="123"/>
      <c r="R37" s="123"/>
      <c r="S37" s="123"/>
      <c r="T37" s="123"/>
      <c r="U37" s="123"/>
    </row>
    <row r="38" spans="4:21" x14ac:dyDescent="0.35">
      <c r="O38" s="24"/>
      <c r="P38" s="123"/>
      <c r="Q38" s="123"/>
      <c r="R38" s="123"/>
      <c r="S38" s="123"/>
      <c r="T38" s="123"/>
      <c r="U38" s="123"/>
    </row>
    <row r="39" spans="4:21" x14ac:dyDescent="0.35">
      <c r="O39" s="24"/>
      <c r="P39" s="123"/>
      <c r="Q39" s="123"/>
      <c r="R39" s="123"/>
      <c r="S39" s="123"/>
      <c r="T39" s="123"/>
      <c r="U39" s="123"/>
    </row>
    <row r="40" spans="4:21" x14ac:dyDescent="0.35">
      <c r="O40" s="24"/>
      <c r="P40" s="123"/>
      <c r="Q40" s="123"/>
      <c r="R40" s="123"/>
      <c r="S40" s="123"/>
      <c r="T40" s="123"/>
      <c r="U40" s="123"/>
    </row>
    <row r="41" spans="4:21" x14ac:dyDescent="0.35">
      <c r="O41" s="24"/>
      <c r="P41" s="123"/>
      <c r="Q41" s="123"/>
      <c r="R41" s="123"/>
      <c r="S41" s="123"/>
      <c r="T41" s="123"/>
      <c r="U41" s="123"/>
    </row>
  </sheetData>
  <sheetProtection algorithmName="SHA-512" hashValue="NZ2+PDIK8sVCgML87XKoA9wRxU37aeDU/K2O3ly+vtMEkf1JxYaqp2xno+TIVE1X0YWSdoCrIqFhZEiMyEpBOA==" saltValue="PBPo1OHIMAKP1jIJV2CVDQ==" spinCount="100000" sheet="1" objects="1" scenarios="1"/>
  <mergeCells count="69">
    <mergeCell ref="P38:Q38"/>
    <mergeCell ref="R38:S38"/>
    <mergeCell ref="T38:U38"/>
    <mergeCell ref="P41:Q41"/>
    <mergeCell ref="R41:S41"/>
    <mergeCell ref="T41:U41"/>
    <mergeCell ref="P39:Q39"/>
    <mergeCell ref="R39:S39"/>
    <mergeCell ref="T39:U39"/>
    <mergeCell ref="P40:Q40"/>
    <mergeCell ref="R40:S40"/>
    <mergeCell ref="T40:U40"/>
    <mergeCell ref="N30:Q30"/>
    <mergeCell ref="N36:Q36"/>
    <mergeCell ref="P37:Q37"/>
    <mergeCell ref="R37:S37"/>
    <mergeCell ref="T37:U37"/>
    <mergeCell ref="P28:Q28"/>
    <mergeCell ref="R28:S28"/>
    <mergeCell ref="T28:U28"/>
    <mergeCell ref="P29:Q29"/>
    <mergeCell ref="R29:S29"/>
    <mergeCell ref="T29:U29"/>
    <mergeCell ref="P26:Q26"/>
    <mergeCell ref="R26:S26"/>
    <mergeCell ref="T26:U26"/>
    <mergeCell ref="P27:Q27"/>
    <mergeCell ref="R27:S27"/>
    <mergeCell ref="T27:U27"/>
    <mergeCell ref="J24:O25"/>
    <mergeCell ref="N22:O22"/>
    <mergeCell ref="N6:O6"/>
    <mergeCell ref="N7:O7"/>
    <mergeCell ref="N17:O17"/>
    <mergeCell ref="N18:O18"/>
    <mergeCell ref="N19:O19"/>
    <mergeCell ref="N8:O8"/>
    <mergeCell ref="N9:O9"/>
    <mergeCell ref="J19:K19"/>
    <mergeCell ref="J17:K17"/>
    <mergeCell ref="J4:K4"/>
    <mergeCell ref="N20:O20"/>
    <mergeCell ref="N21:O21"/>
    <mergeCell ref="H16:K16"/>
    <mergeCell ref="L4:M4"/>
    <mergeCell ref="N4:O4"/>
    <mergeCell ref="N5:O5"/>
    <mergeCell ref="J18:K18"/>
    <mergeCell ref="B2:C2"/>
    <mergeCell ref="J20:K20"/>
    <mergeCell ref="J21:K21"/>
    <mergeCell ref="L5:M5"/>
    <mergeCell ref="L6:M6"/>
    <mergeCell ref="L7:M7"/>
    <mergeCell ref="L8:M8"/>
    <mergeCell ref="L9:M9"/>
    <mergeCell ref="L17:M17"/>
    <mergeCell ref="L18:M18"/>
    <mergeCell ref="L19:M19"/>
    <mergeCell ref="L20:M20"/>
    <mergeCell ref="L21:M21"/>
    <mergeCell ref="J8:K8"/>
    <mergeCell ref="J9:K9"/>
    <mergeCell ref="H10:K10"/>
    <mergeCell ref="B13:D13"/>
    <mergeCell ref="H5:I5"/>
    <mergeCell ref="J5:K5"/>
    <mergeCell ref="J6:K6"/>
    <mergeCell ref="J7:K7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X44"/>
  <sheetViews>
    <sheetView tabSelected="1" topLeftCell="G18" workbookViewId="0">
      <selection activeCell="E23" sqref="E23"/>
    </sheetView>
  </sheetViews>
  <sheetFormatPr baseColWidth="10" defaultRowHeight="14.5" x14ac:dyDescent="0.35"/>
  <cols>
    <col min="2" max="2" width="22.08984375" customWidth="1"/>
    <col min="3" max="3" width="25.453125" customWidth="1"/>
    <col min="4" max="4" width="15.90625" bestFit="1" customWidth="1"/>
    <col min="5" max="5" width="16.36328125" bestFit="1" customWidth="1"/>
    <col min="6" max="6" width="16.36328125" customWidth="1"/>
    <col min="7" max="7" width="27.08984375" customWidth="1"/>
    <col min="8" max="8" width="12.90625" bestFit="1" customWidth="1"/>
    <col min="9" max="10" width="12.90625" customWidth="1"/>
  </cols>
  <sheetData>
    <row r="1" spans="2:24" ht="15.5" x14ac:dyDescent="0.35">
      <c r="B1" s="148" t="s">
        <v>81</v>
      </c>
      <c r="C1" s="148"/>
    </row>
    <row r="2" spans="2:24" x14ac:dyDescent="0.35">
      <c r="G2" s="28" t="s">
        <v>22</v>
      </c>
      <c r="P2" s="62"/>
      <c r="Q2" s="62"/>
      <c r="R2" s="62"/>
      <c r="S2" s="62"/>
      <c r="T2" s="62"/>
      <c r="U2" s="62"/>
      <c r="V2" s="62"/>
      <c r="W2" s="70"/>
      <c r="X2" s="70"/>
    </row>
    <row r="3" spans="2:24" ht="16" thickBot="1" x14ac:dyDescent="0.4">
      <c r="B3" t="s">
        <v>0</v>
      </c>
      <c r="C3" s="24" t="s">
        <v>65</v>
      </c>
      <c r="D3" s="31" t="s">
        <v>62</v>
      </c>
      <c r="E3" s="31" t="s">
        <v>63</v>
      </c>
      <c r="G3" t="s">
        <v>54</v>
      </c>
      <c r="I3" s="148" t="s">
        <v>61</v>
      </c>
      <c r="J3" s="148"/>
      <c r="K3" s="148" t="s">
        <v>52</v>
      </c>
      <c r="L3" s="148"/>
      <c r="M3" s="148" t="s">
        <v>53</v>
      </c>
      <c r="N3" s="148"/>
      <c r="P3" s="62"/>
      <c r="Q3" s="62"/>
      <c r="R3" s="62"/>
      <c r="S3" s="62" t="s">
        <v>61</v>
      </c>
      <c r="T3" s="62" t="s">
        <v>52</v>
      </c>
      <c r="U3" s="62" t="s">
        <v>53</v>
      </c>
      <c r="V3" s="62"/>
      <c r="W3" s="83"/>
      <c r="X3" s="83"/>
    </row>
    <row r="4" spans="2:24" x14ac:dyDescent="0.35">
      <c r="B4" s="13" t="s">
        <v>6</v>
      </c>
      <c r="C4" s="13"/>
      <c r="D4" s="13"/>
      <c r="E4" s="13"/>
      <c r="G4" s="135" t="s">
        <v>54</v>
      </c>
      <c r="H4" s="136"/>
      <c r="I4" s="126">
        <v>484.11052332081448</v>
      </c>
      <c r="J4" s="127"/>
      <c r="K4" s="126">
        <f>'Calcul Mixte'!Q8/45</f>
        <v>602.24695643878033</v>
      </c>
      <c r="L4" s="127"/>
      <c r="M4" s="126">
        <f>'Calcul Mixte'!Q33/45</f>
        <v>941.44474504127516</v>
      </c>
      <c r="N4" s="127"/>
      <c r="P4" s="62"/>
      <c r="Q4" s="62"/>
      <c r="R4" s="72" t="s">
        <v>1</v>
      </c>
      <c r="S4" s="67">
        <f>I16</f>
        <v>0.16853932584269657</v>
      </c>
      <c r="T4" s="67">
        <f>K16</f>
        <v>0.24390243902439024</v>
      </c>
      <c r="U4" s="67">
        <f>M16</f>
        <v>0.32467532467532467</v>
      </c>
      <c r="V4" s="62"/>
      <c r="W4" s="83"/>
      <c r="X4" s="83"/>
    </row>
    <row r="5" spans="2:24" x14ac:dyDescent="0.35">
      <c r="B5" t="s">
        <v>35</v>
      </c>
      <c r="C5" s="2">
        <v>0.3</v>
      </c>
      <c r="D5" s="68">
        <f>Pénibilité!D5</f>
        <v>0.4</v>
      </c>
      <c r="E5" s="68">
        <f>Pénibilité!E5</f>
        <v>0.5</v>
      </c>
      <c r="G5" s="33" t="s">
        <v>44</v>
      </c>
      <c r="H5" s="13" t="s">
        <v>32</v>
      </c>
      <c r="I5" s="117">
        <v>9.9913041612669697E-3</v>
      </c>
      <c r="J5" s="118"/>
      <c r="K5" s="117">
        <f>'Calcul Mixte'!L14</f>
        <v>1.0996716451402662E-2</v>
      </c>
      <c r="L5" s="118"/>
      <c r="M5" s="117">
        <f>'Calcul Mixte'!L39</f>
        <v>1.6505712009491996E-2</v>
      </c>
      <c r="N5" s="118"/>
      <c r="P5" s="62"/>
      <c r="Q5" s="62"/>
      <c r="R5" s="62" t="s">
        <v>2</v>
      </c>
      <c r="S5" s="67">
        <f>I17</f>
        <v>0.10256410256410253</v>
      </c>
      <c r="T5" s="67">
        <f>K17</f>
        <v>0.16574585635359115</v>
      </c>
      <c r="U5" s="67">
        <f>M17</f>
        <v>0.23391812865497075</v>
      </c>
      <c r="V5" s="62"/>
      <c r="W5" s="83"/>
      <c r="X5" s="83"/>
    </row>
    <row r="6" spans="2:24" x14ac:dyDescent="0.35">
      <c r="B6" t="s">
        <v>36</v>
      </c>
      <c r="C6" s="2">
        <f>0.5*C5</f>
        <v>0.15</v>
      </c>
      <c r="D6" s="68">
        <f>Pénibilité!D6</f>
        <v>0.2</v>
      </c>
      <c r="E6" s="68">
        <f>Pénibilité!E6</f>
        <v>0.25</v>
      </c>
      <c r="G6" s="17"/>
      <c r="H6" s="13" t="s">
        <v>33</v>
      </c>
      <c r="I6" s="117">
        <v>4.688663527802122E-2</v>
      </c>
      <c r="J6" s="118"/>
      <c r="K6" s="117">
        <f>'Calcul Mixte'!L15</f>
        <v>5.1604778034037013E-2</v>
      </c>
      <c r="L6" s="118"/>
      <c r="M6" s="117">
        <f>'Calcul Mixte'!L40</f>
        <v>7.7457085331588002E-2</v>
      </c>
      <c r="N6" s="118"/>
      <c r="P6" s="62"/>
      <c r="Q6" s="62"/>
      <c r="R6" s="62" t="s">
        <v>3</v>
      </c>
      <c r="S6" s="67">
        <f>I18</f>
        <v>4.8239266763145189E-2</v>
      </c>
      <c r="T6" s="67">
        <f>K18</f>
        <v>9.8376783079193314E-2</v>
      </c>
      <c r="U6" s="67">
        <f>M18</f>
        <v>0.14756517461878998</v>
      </c>
      <c r="V6" s="62"/>
      <c r="W6" s="83"/>
      <c r="X6" s="83"/>
    </row>
    <row r="7" spans="2:24" x14ac:dyDescent="0.35">
      <c r="B7" t="s">
        <v>37</v>
      </c>
      <c r="C7" s="2">
        <f t="shared" ref="C7" si="0">0.5*C6</f>
        <v>7.4999999999999997E-2</v>
      </c>
      <c r="D7" s="68">
        <f>Pénibilité!D7</f>
        <v>0.15</v>
      </c>
      <c r="E7" s="68">
        <f>Pénibilité!E7</f>
        <v>0.22500000000000001</v>
      </c>
      <c r="G7" s="17"/>
      <c r="I7" s="124"/>
      <c r="J7" s="125"/>
      <c r="K7" s="124"/>
      <c r="L7" s="125"/>
      <c r="M7" s="124"/>
      <c r="N7" s="125"/>
      <c r="P7" s="62"/>
      <c r="Q7" s="62"/>
      <c r="R7" s="62" t="s">
        <v>4</v>
      </c>
      <c r="S7" s="64">
        <f>-I5</f>
        <v>-9.9913041612669697E-3</v>
      </c>
      <c r="T7" s="64">
        <f>-K5</f>
        <v>-1.0996716451402662E-2</v>
      </c>
      <c r="U7" s="64">
        <f>-M5</f>
        <v>-1.6505712009491996E-2</v>
      </c>
      <c r="V7" s="62"/>
      <c r="W7" s="70"/>
      <c r="X7" s="70"/>
    </row>
    <row r="8" spans="2:24" x14ac:dyDescent="0.35">
      <c r="B8" t="s">
        <v>38</v>
      </c>
      <c r="C8" s="2">
        <v>0</v>
      </c>
      <c r="D8" s="68">
        <f>Pénibilité!D8</f>
        <v>0</v>
      </c>
      <c r="E8" s="68">
        <f>Pénibilité!E8</f>
        <v>0</v>
      </c>
      <c r="G8" s="33" t="s">
        <v>45</v>
      </c>
      <c r="H8" s="13" t="s">
        <v>33</v>
      </c>
      <c r="I8" s="117">
        <v>5.4619836401248401E-2</v>
      </c>
      <c r="J8" s="118"/>
      <c r="K8" s="117">
        <f>'Calcul Mixte'!L22</f>
        <v>5.9399918968070828E-2</v>
      </c>
      <c r="L8" s="118"/>
      <c r="M8" s="117">
        <f>'Calcul Mixte'!L47</f>
        <v>9.0069511753241752E-2</v>
      </c>
      <c r="N8" s="118"/>
      <c r="P8" s="62"/>
      <c r="Q8" s="62"/>
      <c r="R8" s="62" t="s">
        <v>5</v>
      </c>
      <c r="S8" s="64">
        <f>-I6</f>
        <v>-4.688663527802122E-2</v>
      </c>
      <c r="T8" s="64">
        <f>-K6</f>
        <v>-5.1604778034037013E-2</v>
      </c>
      <c r="U8" s="64">
        <f>-M6</f>
        <v>-7.7457085331588002E-2</v>
      </c>
      <c r="V8" s="62"/>
      <c r="W8" s="70"/>
      <c r="X8" s="70"/>
    </row>
    <row r="9" spans="2:24" x14ac:dyDescent="0.35">
      <c r="B9" t="s">
        <v>39</v>
      </c>
      <c r="C9" s="2">
        <v>0</v>
      </c>
      <c r="D9" s="68">
        <f>Pénibilité!D9</f>
        <v>0</v>
      </c>
      <c r="E9" s="68">
        <f>Pénibilité!E9</f>
        <v>0</v>
      </c>
      <c r="G9" s="121" t="s">
        <v>60</v>
      </c>
      <c r="H9" s="122"/>
      <c r="I9" s="122"/>
      <c r="J9" s="122"/>
      <c r="K9" s="17"/>
      <c r="L9" s="25"/>
      <c r="N9" s="25"/>
      <c r="P9" s="67"/>
      <c r="Q9" s="67"/>
      <c r="R9" s="67"/>
      <c r="S9" s="62"/>
      <c r="T9" s="62"/>
      <c r="U9" s="62"/>
      <c r="V9" s="62"/>
      <c r="W9" s="70"/>
      <c r="X9" s="70"/>
    </row>
    <row r="10" spans="2:24" x14ac:dyDescent="0.35">
      <c r="B10" s="13" t="s">
        <v>41</v>
      </c>
      <c r="C10" s="13"/>
      <c r="D10" s="13"/>
      <c r="E10" s="13"/>
      <c r="G10" s="17"/>
      <c r="H10" s="34" t="s">
        <v>1</v>
      </c>
      <c r="I10" s="36">
        <v>63.6</v>
      </c>
      <c r="J10" s="35">
        <v>62.7</v>
      </c>
      <c r="K10" s="36">
        <v>63.6</v>
      </c>
      <c r="L10" s="29">
        <f>'Calcul Mixte'!R2</f>
        <v>62</v>
      </c>
      <c r="M10" s="35">
        <v>63.6</v>
      </c>
      <c r="N10" s="29">
        <f>'Calcul Mixte'!R27</f>
        <v>61.1</v>
      </c>
      <c r="P10" s="62"/>
      <c r="Q10" s="62"/>
      <c r="R10" s="62"/>
      <c r="S10" s="62"/>
      <c r="T10" s="62"/>
      <c r="U10" s="62"/>
      <c r="V10" s="62"/>
      <c r="W10" s="70"/>
      <c r="X10" s="70"/>
    </row>
    <row r="11" spans="2:24" x14ac:dyDescent="0.35">
      <c r="B11" t="s">
        <v>35</v>
      </c>
      <c r="C11">
        <v>3</v>
      </c>
      <c r="D11" s="49">
        <f>Pénibilité!D11</f>
        <v>4</v>
      </c>
      <c r="E11" s="49">
        <f>Pénibilité!E11</f>
        <v>5</v>
      </c>
      <c r="G11" s="17"/>
      <c r="H11" s="34" t="s">
        <v>2</v>
      </c>
      <c r="I11" s="36">
        <v>63.9</v>
      </c>
      <c r="J11" s="35">
        <v>63.6</v>
      </c>
      <c r="K11" s="36">
        <v>63.9</v>
      </c>
      <c r="L11" s="29">
        <f>'Calcul Mixte'!R3</f>
        <v>63.3</v>
      </c>
      <c r="M11" s="35">
        <v>63.9</v>
      </c>
      <c r="N11" s="29">
        <f>'Calcul Mixte'!R28</f>
        <v>62.9</v>
      </c>
      <c r="P11" s="62"/>
      <c r="Q11" s="62"/>
      <c r="R11" s="62" t="s">
        <v>78</v>
      </c>
      <c r="S11" s="62" t="s">
        <v>61</v>
      </c>
      <c r="T11" s="62" t="s">
        <v>52</v>
      </c>
      <c r="U11" s="62" t="s">
        <v>53</v>
      </c>
      <c r="V11" s="62"/>
      <c r="W11" s="70"/>
      <c r="X11" s="70"/>
    </row>
    <row r="12" spans="2:24" x14ac:dyDescent="0.35">
      <c r="B12" t="s">
        <v>36</v>
      </c>
      <c r="C12">
        <v>2</v>
      </c>
      <c r="D12" s="49">
        <f>Pénibilité!D12</f>
        <v>3</v>
      </c>
      <c r="E12" s="49">
        <f>Pénibilité!E12</f>
        <v>4</v>
      </c>
      <c r="G12" s="17"/>
      <c r="H12" s="34" t="s">
        <v>3</v>
      </c>
      <c r="I12" s="17">
        <v>64.67</v>
      </c>
      <c r="J12">
        <v>64.594999999999999</v>
      </c>
      <c r="K12" s="17">
        <v>64.67</v>
      </c>
      <c r="L12" s="29">
        <f>'Calcul Mixte'!R4</f>
        <v>64.37</v>
      </c>
      <c r="M12">
        <v>64.67</v>
      </c>
      <c r="N12" s="29">
        <f>'Calcul Mixte'!R29</f>
        <v>63.995000000000005</v>
      </c>
      <c r="P12" s="62"/>
      <c r="Q12" s="62" t="s">
        <v>1</v>
      </c>
      <c r="R12" s="86">
        <f t="shared" ref="R12:S16" si="1">I10</f>
        <v>63.6</v>
      </c>
      <c r="S12" s="86">
        <f t="shared" si="1"/>
        <v>62.7</v>
      </c>
      <c r="T12" s="86">
        <f>L10</f>
        <v>62</v>
      </c>
      <c r="U12" s="86">
        <f>N10</f>
        <v>61.1</v>
      </c>
      <c r="V12" s="62"/>
      <c r="W12" s="70"/>
      <c r="X12" s="70"/>
    </row>
    <row r="13" spans="2:24" x14ac:dyDescent="0.35">
      <c r="B13" t="s">
        <v>37</v>
      </c>
      <c r="C13">
        <v>1</v>
      </c>
      <c r="D13" s="49">
        <f>Pénibilité!D13</f>
        <v>2</v>
      </c>
      <c r="E13" s="49">
        <f>Pénibilité!E13</f>
        <v>3</v>
      </c>
      <c r="G13" s="17"/>
      <c r="H13" s="34" t="s">
        <v>4</v>
      </c>
      <c r="I13" s="17">
        <v>65.59</v>
      </c>
      <c r="J13">
        <v>65.59</v>
      </c>
      <c r="K13" s="17">
        <v>65.59</v>
      </c>
      <c r="L13" s="29">
        <f>'Calcul Mixte'!R5</f>
        <v>65.59</v>
      </c>
      <c r="M13">
        <v>65.59</v>
      </c>
      <c r="N13" s="29">
        <f>'Calcul Mixte'!R30</f>
        <v>65.59</v>
      </c>
      <c r="P13" s="62"/>
      <c r="Q13" s="62" t="s">
        <v>2</v>
      </c>
      <c r="R13" s="86">
        <f t="shared" si="1"/>
        <v>63.9</v>
      </c>
      <c r="S13" s="86">
        <f t="shared" si="1"/>
        <v>63.6</v>
      </c>
      <c r="T13" s="86">
        <f>L11</f>
        <v>63.3</v>
      </c>
      <c r="U13" s="86">
        <f>N11</f>
        <v>62.9</v>
      </c>
      <c r="V13" s="62"/>
      <c r="W13" s="70"/>
      <c r="X13" s="70"/>
    </row>
    <row r="14" spans="2:24" x14ac:dyDescent="0.35">
      <c r="B14" t="s">
        <v>38</v>
      </c>
      <c r="C14">
        <v>0</v>
      </c>
      <c r="D14" s="49">
        <f>Pénibilité!D14</f>
        <v>0</v>
      </c>
      <c r="E14" s="49">
        <f>Pénibilité!E14</f>
        <v>0</v>
      </c>
      <c r="G14" s="17"/>
      <c r="H14" s="34" t="s">
        <v>5</v>
      </c>
      <c r="I14" s="17">
        <v>67.349999999999994</v>
      </c>
      <c r="J14">
        <v>67.349999999999994</v>
      </c>
      <c r="K14" s="17">
        <v>67.349999999999994</v>
      </c>
      <c r="L14" s="29">
        <f>'Calcul Mixte'!R6</f>
        <v>67.349999999999994</v>
      </c>
      <c r="M14">
        <v>67.349999999999994</v>
      </c>
      <c r="N14" s="29">
        <f>'Calcul Mixte'!R31</f>
        <v>67.349999999999994</v>
      </c>
      <c r="P14" s="62"/>
      <c r="Q14" s="62" t="s">
        <v>3</v>
      </c>
      <c r="R14" s="86">
        <f t="shared" si="1"/>
        <v>64.67</v>
      </c>
      <c r="S14" s="86">
        <f t="shared" si="1"/>
        <v>64.594999999999999</v>
      </c>
      <c r="T14" s="86">
        <f>L12</f>
        <v>64.37</v>
      </c>
      <c r="U14" s="86">
        <f>N12</f>
        <v>63.995000000000005</v>
      </c>
      <c r="V14" s="62"/>
    </row>
    <row r="15" spans="2:24" x14ac:dyDescent="0.35">
      <c r="B15" t="s">
        <v>39</v>
      </c>
      <c r="C15">
        <v>0</v>
      </c>
      <c r="D15" s="49">
        <f>Pénibilité!D15</f>
        <v>0</v>
      </c>
      <c r="E15" s="49">
        <f>Pénibilité!E15</f>
        <v>0</v>
      </c>
      <c r="G15" s="121" t="s">
        <v>59</v>
      </c>
      <c r="H15" s="122"/>
      <c r="I15" s="122"/>
      <c r="J15" s="122"/>
      <c r="K15" s="17"/>
      <c r="L15" s="25"/>
      <c r="N15" s="25"/>
      <c r="P15" s="62"/>
      <c r="Q15" s="62" t="s">
        <v>4</v>
      </c>
      <c r="R15" s="86">
        <f t="shared" si="1"/>
        <v>65.59</v>
      </c>
      <c r="S15" s="86">
        <f t="shared" si="1"/>
        <v>65.59</v>
      </c>
      <c r="T15" s="86">
        <f>L13</f>
        <v>65.59</v>
      </c>
      <c r="U15" s="86">
        <f>N13</f>
        <v>65.59</v>
      </c>
      <c r="V15" s="62"/>
    </row>
    <row r="16" spans="2:24" x14ac:dyDescent="0.35">
      <c r="B16" s="20" t="s">
        <v>31</v>
      </c>
      <c r="C16" s="21"/>
      <c r="D16" s="88"/>
      <c r="E16" s="88"/>
      <c r="G16" s="17"/>
      <c r="H16" s="34" t="s">
        <v>1</v>
      </c>
      <c r="I16" s="117">
        <v>0.16853932584269657</v>
      </c>
      <c r="J16" s="118"/>
      <c r="K16" s="117">
        <f>'Calcul Mixte'!U2</f>
        <v>0.24390243902439024</v>
      </c>
      <c r="L16" s="118"/>
      <c r="M16" s="117">
        <f>'Calcul Mixte'!U27</f>
        <v>0.32467532467532467</v>
      </c>
      <c r="N16" s="118"/>
      <c r="P16" s="62"/>
      <c r="Q16" s="62" t="s">
        <v>5</v>
      </c>
      <c r="R16" s="86">
        <f t="shared" si="1"/>
        <v>67.349999999999994</v>
      </c>
      <c r="S16" s="86">
        <f t="shared" si="1"/>
        <v>67.349999999999994</v>
      </c>
      <c r="T16" s="86">
        <f>L14</f>
        <v>67.349999999999994</v>
      </c>
      <c r="U16" s="86">
        <f>N14</f>
        <v>67.349999999999994</v>
      </c>
      <c r="V16" s="62"/>
    </row>
    <row r="17" spans="1:22" x14ac:dyDescent="0.35">
      <c r="A17" s="81"/>
      <c r="B17" s="19" t="s">
        <v>35</v>
      </c>
      <c r="C17" s="49">
        <v>81.400000000000006</v>
      </c>
      <c r="D17" s="49">
        <f>IF(Longévité!E6=0,Mixte!C17,Longévité!E6)</f>
        <v>80</v>
      </c>
      <c r="E17" s="49">
        <f>IF(Longévité!F6=0,Mixte!C17,Longévité!F6)</f>
        <v>79</v>
      </c>
      <c r="G17" s="17"/>
      <c r="H17" s="34" t="s">
        <v>2</v>
      </c>
      <c r="I17" s="117">
        <v>0.10256410256410253</v>
      </c>
      <c r="J17" s="118"/>
      <c r="K17" s="117">
        <f>'Calcul Mixte'!U3</f>
        <v>0.16574585635359115</v>
      </c>
      <c r="L17" s="118"/>
      <c r="M17" s="117">
        <f>'Calcul Mixte'!U28</f>
        <v>0.23391812865497075</v>
      </c>
      <c r="N17" s="118"/>
      <c r="P17" s="62"/>
      <c r="Q17" s="62"/>
      <c r="R17" s="62"/>
      <c r="S17" s="62"/>
      <c r="T17" s="62"/>
      <c r="U17" s="62"/>
      <c r="V17" s="62"/>
    </row>
    <row r="18" spans="1:22" x14ac:dyDescent="0.35">
      <c r="B18" s="19" t="s">
        <v>36</v>
      </c>
      <c r="C18" s="49">
        <v>83.4</v>
      </c>
      <c r="D18" s="49">
        <f>IF(Longévité!E7=0,Mixte!C18,Longévité!E7)</f>
        <v>82</v>
      </c>
      <c r="E18" s="49">
        <f>IF(Longévité!F7=0,Mixte!C18,Longévité!F7)</f>
        <v>81</v>
      </c>
      <c r="G18" s="17"/>
      <c r="H18" s="34" t="s">
        <v>3</v>
      </c>
      <c r="I18" s="117">
        <v>4.8239266763145189E-2</v>
      </c>
      <c r="J18" s="118"/>
      <c r="K18" s="117">
        <f>'Calcul Mixte'!U4</f>
        <v>9.8376783079193314E-2</v>
      </c>
      <c r="L18" s="118"/>
      <c r="M18" s="117">
        <f>'Calcul Mixte'!U29</f>
        <v>0.14756517461878998</v>
      </c>
      <c r="N18" s="118"/>
    </row>
    <row r="19" spans="1:22" x14ac:dyDescent="0.35">
      <c r="B19" s="19" t="s">
        <v>37</v>
      </c>
      <c r="C19" s="49">
        <v>85.4</v>
      </c>
      <c r="D19" s="49">
        <f>IF(Longévité!E8=0,Mixte!C19,Longévité!E8)</f>
        <v>85</v>
      </c>
      <c r="E19" s="49">
        <f>IF(Longévité!F8=0,Mixte!C19,Longévité!F8)</f>
        <v>85</v>
      </c>
      <c r="G19" s="17"/>
      <c r="H19" s="34" t="s">
        <v>4</v>
      </c>
      <c r="I19" s="117">
        <v>0</v>
      </c>
      <c r="J19" s="118"/>
      <c r="K19" s="117">
        <f>'Calcul Mixte'!U5</f>
        <v>0</v>
      </c>
      <c r="L19" s="118"/>
      <c r="M19" s="117">
        <f>'Calcul Mixte'!U30</f>
        <v>0</v>
      </c>
      <c r="N19" s="118"/>
    </row>
    <row r="20" spans="1:22" ht="15" thickBot="1" x14ac:dyDescent="0.4">
      <c r="B20" s="19" t="s">
        <v>38</v>
      </c>
      <c r="C20" s="49">
        <v>87.4</v>
      </c>
      <c r="D20" s="49">
        <f>IF(Longévité!E9=0,Mixte!C20,Longévité!E9)</f>
        <v>88</v>
      </c>
      <c r="E20" s="49">
        <f>IF(Longévité!F9=0,Mixte!C20,Longévité!F9)</f>
        <v>89</v>
      </c>
      <c r="G20" s="26"/>
      <c r="H20" s="27" t="s">
        <v>5</v>
      </c>
      <c r="I20" s="119">
        <v>0</v>
      </c>
      <c r="J20" s="120"/>
      <c r="K20" s="119">
        <f>'Calcul Mixte'!U6</f>
        <v>0</v>
      </c>
      <c r="L20" s="120"/>
      <c r="M20" s="119">
        <f>'Calcul Mixte'!U31</f>
        <v>0</v>
      </c>
      <c r="N20" s="120"/>
    </row>
    <row r="21" spans="1:22" ht="15" thickBot="1" x14ac:dyDescent="0.4">
      <c r="B21" s="19" t="s">
        <v>39</v>
      </c>
      <c r="C21" s="49">
        <v>89.4</v>
      </c>
      <c r="D21" s="49">
        <f>IF(Longévité!E10=0,Mixte!C21,Longévité!E10)</f>
        <v>92</v>
      </c>
      <c r="E21" s="49">
        <f>IF(Longévité!F10=0,Mixte!C21,Longévité!F10)</f>
        <v>92</v>
      </c>
    </row>
    <row r="22" spans="1:22" x14ac:dyDescent="0.35">
      <c r="B22" s="20" t="s">
        <v>40</v>
      </c>
      <c r="C22" s="21"/>
      <c r="D22" s="88"/>
      <c r="E22" s="32"/>
      <c r="G22" s="24"/>
      <c r="I22" s="111" t="s">
        <v>74</v>
      </c>
      <c r="J22" s="112"/>
      <c r="K22" s="112"/>
      <c r="L22" s="112"/>
      <c r="M22" s="112"/>
      <c r="N22" s="113"/>
      <c r="P22" s="128" t="s">
        <v>77</v>
      </c>
      <c r="Q22" s="129"/>
      <c r="R22" s="129"/>
      <c r="S22" s="129"/>
      <c r="T22" s="129"/>
      <c r="U22" s="130"/>
    </row>
    <row r="23" spans="1:22" ht="15" thickBot="1" x14ac:dyDescent="0.4">
      <c r="B23" s="19" t="s">
        <v>35</v>
      </c>
      <c r="C23" s="85">
        <v>0.2082</v>
      </c>
      <c r="D23" s="89">
        <f>Longévité!E12</f>
        <v>0.22</v>
      </c>
      <c r="E23" s="89">
        <f>Longévité!F12</f>
        <v>0</v>
      </c>
      <c r="I23" s="114"/>
      <c r="J23" s="115"/>
      <c r="K23" s="115"/>
      <c r="L23" s="115"/>
      <c r="M23" s="115"/>
      <c r="N23" s="116"/>
      <c r="P23" s="131"/>
      <c r="Q23" s="132"/>
      <c r="R23" s="132"/>
      <c r="S23" s="132"/>
      <c r="T23" s="132"/>
      <c r="U23" s="133"/>
    </row>
    <row r="24" spans="1:22" x14ac:dyDescent="0.35">
      <c r="B24" s="19" t="s">
        <v>36</v>
      </c>
      <c r="C24" s="85">
        <v>0.15615000000000001</v>
      </c>
      <c r="D24" s="89">
        <f>Longévité!E13</f>
        <v>0.17</v>
      </c>
      <c r="E24" s="89">
        <f>Longévité!F13</f>
        <v>0</v>
      </c>
      <c r="H24" s="110"/>
      <c r="I24" s="110"/>
      <c r="J24" s="110"/>
      <c r="K24" s="110"/>
    </row>
    <row r="25" spans="1:22" x14ac:dyDescent="0.35">
      <c r="B25" s="19" t="s">
        <v>37</v>
      </c>
      <c r="C25" s="85">
        <v>0.1041</v>
      </c>
      <c r="D25" s="89">
        <f>Longévité!E14</f>
        <v>0.12</v>
      </c>
      <c r="E25" s="89">
        <f>Longévité!F14</f>
        <v>0.15</v>
      </c>
      <c r="H25" s="110"/>
      <c r="I25" s="110"/>
      <c r="J25" s="110"/>
      <c r="K25" s="110"/>
    </row>
    <row r="26" spans="1:22" x14ac:dyDescent="0.35">
      <c r="B26" s="19" t="s">
        <v>38</v>
      </c>
      <c r="C26" s="85">
        <v>7.8075000000000006E-2</v>
      </c>
      <c r="D26" s="89">
        <f>Longévité!E15</f>
        <v>0.06</v>
      </c>
      <c r="E26" s="89">
        <f>Longévité!F15</f>
        <v>0</v>
      </c>
      <c r="H26" s="110"/>
      <c r="I26" s="110"/>
      <c r="J26" s="110"/>
      <c r="K26" s="110"/>
    </row>
    <row r="27" spans="1:22" x14ac:dyDescent="0.35">
      <c r="B27" s="19" t="s">
        <v>39</v>
      </c>
      <c r="C27" s="85">
        <v>5.2049999999999999E-2</v>
      </c>
      <c r="D27" s="89">
        <f>Longévité!E16</f>
        <v>0.03</v>
      </c>
      <c r="E27" s="89">
        <f>Longévité!F16</f>
        <v>0</v>
      </c>
      <c r="H27" s="110"/>
      <c r="I27" s="110"/>
      <c r="J27" s="110"/>
      <c r="K27" s="110"/>
    </row>
    <row r="28" spans="1:22" x14ac:dyDescent="0.35">
      <c r="B28" s="13" t="s">
        <v>48</v>
      </c>
      <c r="C28" s="13"/>
      <c r="D28" s="32"/>
      <c r="E28" s="32"/>
      <c r="G28" s="110"/>
      <c r="H28" s="110"/>
      <c r="I28" s="110"/>
      <c r="J28" s="110"/>
      <c r="K28" s="110"/>
      <c r="L28" s="110"/>
    </row>
    <row r="29" spans="1:22" x14ac:dyDescent="0.35">
      <c r="B29" s="19" t="s">
        <v>35</v>
      </c>
      <c r="C29" s="84">
        <v>0</v>
      </c>
      <c r="D29" s="90">
        <f>Anticipation!D6</f>
        <v>0.5</v>
      </c>
      <c r="E29" s="90">
        <f>Anticipation!E6</f>
        <v>0.7</v>
      </c>
      <c r="H29" s="24"/>
      <c r="I29" s="24"/>
      <c r="J29" s="24"/>
    </row>
    <row r="30" spans="1:22" x14ac:dyDescent="0.35">
      <c r="B30" s="19" t="s">
        <v>36</v>
      </c>
      <c r="C30" s="84">
        <v>0</v>
      </c>
      <c r="D30" s="90">
        <f>Anticipation!D7</f>
        <v>0.25</v>
      </c>
      <c r="E30" s="90">
        <f>Anticipation!E7</f>
        <v>0.35</v>
      </c>
      <c r="H30" s="24"/>
      <c r="I30" s="24"/>
      <c r="J30" s="24"/>
    </row>
    <row r="31" spans="1:22" x14ac:dyDescent="0.35">
      <c r="B31" s="19" t="s">
        <v>37</v>
      </c>
      <c r="C31" s="84">
        <v>0</v>
      </c>
      <c r="D31" s="90">
        <f>Anticipation!D8</f>
        <v>0.125</v>
      </c>
      <c r="E31" s="90">
        <f>Anticipation!E8</f>
        <v>0.17499999999999999</v>
      </c>
      <c r="H31" s="24"/>
      <c r="I31" s="24"/>
      <c r="J31" s="24"/>
    </row>
    <row r="32" spans="1:22" x14ac:dyDescent="0.35">
      <c r="B32" s="19" t="s">
        <v>38</v>
      </c>
      <c r="C32" s="84">
        <v>0</v>
      </c>
      <c r="D32" s="90">
        <f>Anticipation!D9</f>
        <v>0</v>
      </c>
      <c r="E32" s="90">
        <f>Anticipation!E9</f>
        <v>0</v>
      </c>
      <c r="H32" s="24"/>
      <c r="I32" s="24"/>
      <c r="J32" s="24"/>
    </row>
    <row r="33" spans="2:14" x14ac:dyDescent="0.35">
      <c r="B33" s="19" t="s">
        <v>39</v>
      </c>
      <c r="C33" s="84">
        <v>0</v>
      </c>
      <c r="D33" s="90">
        <f>Anticipation!D10</f>
        <v>0</v>
      </c>
      <c r="E33" s="90">
        <f>Anticipation!E10</f>
        <v>0</v>
      </c>
      <c r="H33" s="24"/>
      <c r="I33" s="24"/>
      <c r="J33" s="24"/>
    </row>
    <row r="34" spans="2:14" x14ac:dyDescent="0.35">
      <c r="G34" s="110"/>
      <c r="H34" s="110"/>
      <c r="I34" s="110"/>
      <c r="J34" s="110"/>
      <c r="K34" s="110"/>
      <c r="L34" s="110"/>
    </row>
    <row r="35" spans="2:14" x14ac:dyDescent="0.35">
      <c r="H35" s="110"/>
      <c r="I35" s="110"/>
      <c r="J35" s="110"/>
      <c r="K35" s="110"/>
    </row>
    <row r="36" spans="2:14" x14ac:dyDescent="0.35">
      <c r="H36" s="110"/>
      <c r="I36" s="110"/>
      <c r="J36" s="110"/>
      <c r="K36" s="110"/>
    </row>
    <row r="37" spans="2:14" x14ac:dyDescent="0.35">
      <c r="H37" s="110"/>
      <c r="I37" s="110"/>
      <c r="J37" s="110"/>
      <c r="K37" s="110"/>
    </row>
    <row r="38" spans="2:14" x14ac:dyDescent="0.35">
      <c r="H38" s="110"/>
      <c r="I38" s="110"/>
      <c r="J38" s="110"/>
      <c r="K38" s="110"/>
    </row>
    <row r="39" spans="2:14" x14ac:dyDescent="0.35">
      <c r="H39" s="110"/>
      <c r="I39" s="110"/>
      <c r="J39" s="110"/>
      <c r="K39" s="110"/>
    </row>
    <row r="40" spans="2:14" x14ac:dyDescent="0.35">
      <c r="I40" s="108"/>
      <c r="J40" s="108"/>
      <c r="K40" s="108"/>
      <c r="L40" s="108"/>
      <c r="M40" s="108"/>
      <c r="N40" s="108"/>
    </row>
    <row r="41" spans="2:14" x14ac:dyDescent="0.35">
      <c r="I41" s="108"/>
      <c r="J41" s="108"/>
      <c r="K41" s="108"/>
      <c r="L41" s="108"/>
      <c r="M41" s="108"/>
      <c r="N41" s="108"/>
    </row>
    <row r="42" spans="2:14" x14ac:dyDescent="0.35">
      <c r="I42" s="108"/>
      <c r="J42" s="108"/>
      <c r="K42" s="108"/>
      <c r="L42" s="108"/>
      <c r="M42" s="108"/>
      <c r="N42" s="108"/>
    </row>
    <row r="43" spans="2:14" x14ac:dyDescent="0.35">
      <c r="I43" s="108"/>
      <c r="J43" s="108"/>
      <c r="K43" s="108"/>
      <c r="L43" s="108"/>
      <c r="M43" s="108"/>
      <c r="N43" s="108"/>
    </row>
    <row r="44" spans="2:14" x14ac:dyDescent="0.35">
      <c r="I44" s="108"/>
      <c r="J44" s="108"/>
      <c r="K44" s="108"/>
      <c r="L44" s="108"/>
      <c r="M44" s="108"/>
      <c r="N44" s="108"/>
    </row>
  </sheetData>
  <sheetProtection algorithmName="SHA-512" hashValue="PQosIGWbh8jQjFa6GGhu84FdJg/trwXrboKhMnyp2Q9g58fqsllqV6qd+AueP3UGuoOSXw7c+OijNTxHFnxHAw==" saltValue="wWVQ1fCYv9YsXPCcxVwy+Q==" spinCount="100000" sheet="1" objects="1" scenarios="1"/>
  <mergeCells count="51">
    <mergeCell ref="H36:K36"/>
    <mergeCell ref="H37:K37"/>
    <mergeCell ref="H38:K38"/>
    <mergeCell ref="H39:K39"/>
    <mergeCell ref="I40:N44"/>
    <mergeCell ref="H35:K35"/>
    <mergeCell ref="I20:J20"/>
    <mergeCell ref="K20:L20"/>
    <mergeCell ref="M20:N20"/>
    <mergeCell ref="I22:N23"/>
    <mergeCell ref="H25:K25"/>
    <mergeCell ref="H26:K26"/>
    <mergeCell ref="H27:K27"/>
    <mergeCell ref="G28:L28"/>
    <mergeCell ref="G34:L34"/>
    <mergeCell ref="P22:U23"/>
    <mergeCell ref="H24:K24"/>
    <mergeCell ref="I18:J18"/>
    <mergeCell ref="K18:L18"/>
    <mergeCell ref="M18:N18"/>
    <mergeCell ref="I19:J19"/>
    <mergeCell ref="K19:L19"/>
    <mergeCell ref="M19:N19"/>
    <mergeCell ref="I17:J17"/>
    <mergeCell ref="K17:L17"/>
    <mergeCell ref="M17:N17"/>
    <mergeCell ref="I7:J7"/>
    <mergeCell ref="K7:L7"/>
    <mergeCell ref="M7:N7"/>
    <mergeCell ref="I8:J8"/>
    <mergeCell ref="K8:L8"/>
    <mergeCell ref="M8:N8"/>
    <mergeCell ref="G9:J9"/>
    <mergeCell ref="G15:J15"/>
    <mergeCell ref="I16:J16"/>
    <mergeCell ref="K16:L16"/>
    <mergeCell ref="M16:N16"/>
    <mergeCell ref="I5:J5"/>
    <mergeCell ref="K5:L5"/>
    <mergeCell ref="M5:N5"/>
    <mergeCell ref="I6:J6"/>
    <mergeCell ref="K6:L6"/>
    <mergeCell ref="M6:N6"/>
    <mergeCell ref="B1:C1"/>
    <mergeCell ref="I3:J3"/>
    <mergeCell ref="K3:L3"/>
    <mergeCell ref="M3:N3"/>
    <mergeCell ref="G4:H4"/>
    <mergeCell ref="I4:J4"/>
    <mergeCell ref="K4:L4"/>
    <mergeCell ref="M4:N4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/>
  <dimension ref="A10:U56"/>
  <sheetViews>
    <sheetView topLeftCell="G3" workbookViewId="0">
      <selection activeCell="R11" sqref="R11"/>
    </sheetView>
  </sheetViews>
  <sheetFormatPr baseColWidth="10" defaultRowHeight="14.5" x14ac:dyDescent="0.35"/>
  <cols>
    <col min="2" max="2" width="11.90625" bestFit="1" customWidth="1"/>
    <col min="3" max="3" width="9.08984375" customWidth="1"/>
    <col min="4" max="4" width="13.90625" bestFit="1" customWidth="1"/>
    <col min="5" max="5" width="11.08984375" bestFit="1" customWidth="1"/>
    <col min="6" max="6" width="17.6328125" bestFit="1" customWidth="1"/>
    <col min="12" max="12" width="12.26953125" customWidth="1"/>
    <col min="13" max="13" width="12.08984375" customWidth="1"/>
    <col min="18" max="18" width="12.36328125" customWidth="1"/>
    <col min="19" max="19" width="13.08984375" bestFit="1" customWidth="1"/>
  </cols>
  <sheetData>
    <row r="10" spans="1:21" ht="87" x14ac:dyDescent="0.35">
      <c r="A10" t="s">
        <v>8</v>
      </c>
      <c r="B10" t="s">
        <v>7</v>
      </c>
      <c r="D10" s="6" t="s">
        <v>9</v>
      </c>
      <c r="E10" s="1" t="s">
        <v>10</v>
      </c>
      <c r="F10" s="1" t="s">
        <v>11</v>
      </c>
      <c r="G10" s="1" t="s">
        <v>12</v>
      </c>
      <c r="H10" s="1" t="s">
        <v>13</v>
      </c>
      <c r="I10" s="4" t="s">
        <v>14</v>
      </c>
      <c r="J10" t="s">
        <v>15</v>
      </c>
      <c r="K10" s="4" t="s">
        <v>17</v>
      </c>
      <c r="L10" s="4" t="s">
        <v>16</v>
      </c>
      <c r="M10" s="4" t="s">
        <v>18</v>
      </c>
      <c r="N10" s="7" t="s">
        <v>29</v>
      </c>
      <c r="O10" s="4" t="s">
        <v>19</v>
      </c>
      <c r="P10" s="4" t="s">
        <v>49</v>
      </c>
      <c r="Q10" s="4" t="s">
        <v>20</v>
      </c>
      <c r="R10" s="4" t="s">
        <v>55</v>
      </c>
      <c r="S10" s="4" t="s">
        <v>56</v>
      </c>
      <c r="T10" s="4" t="s">
        <v>57</v>
      </c>
      <c r="U10" s="4" t="s">
        <v>58</v>
      </c>
    </row>
    <row r="11" spans="1:21" x14ac:dyDescent="0.35">
      <c r="A11">
        <v>1</v>
      </c>
      <c r="B11">
        <v>2280.2800000000002</v>
      </c>
      <c r="D11" s="6">
        <f>Longévité!E6</f>
        <v>80</v>
      </c>
      <c r="E11">
        <v>18.600000000000001</v>
      </c>
      <c r="F11">
        <f>E11+45</f>
        <v>63.6</v>
      </c>
      <c r="G11">
        <f>D11-F11</f>
        <v>16.399999999999999</v>
      </c>
      <c r="H11">
        <v>3</v>
      </c>
      <c r="I11" s="2">
        <v>1.0106999999999999</v>
      </c>
      <c r="J11">
        <f>12*B11*H11*I11</f>
        <v>82968.443855999998</v>
      </c>
      <c r="K11">
        <v>715434</v>
      </c>
      <c r="L11">
        <v>62.917981210855949</v>
      </c>
      <c r="M11">
        <v>63</v>
      </c>
      <c r="N11" s="51">
        <f>Longévité!E12</f>
        <v>0.22</v>
      </c>
      <c r="O11" s="52">
        <v>0.3</v>
      </c>
      <c r="P11" s="15">
        <f>Longévité!D18</f>
        <v>0</v>
      </c>
      <c r="Q11">
        <f>J11*K11*O11*(1-P11)*(1-N11)</f>
        <v>13889876284.831598</v>
      </c>
      <c r="R11">
        <f>F11-(O11*H11)</f>
        <v>62.7</v>
      </c>
      <c r="S11" s="8">
        <f>G11*(M11/100)*B11*12</f>
        <v>282718.23551999999</v>
      </c>
      <c r="T11">
        <f>H11*B11*12*(M11/100)</f>
        <v>51716.750400000004</v>
      </c>
      <c r="U11" s="2">
        <f>T11/S11</f>
        <v>0.18292682926829271</v>
      </c>
    </row>
    <row r="12" spans="1:21" x14ac:dyDescent="0.35">
      <c r="A12">
        <v>2</v>
      </c>
      <c r="B12">
        <v>2938.6299999999997</v>
      </c>
      <c r="D12" s="6">
        <f>Longévité!E7</f>
        <v>82</v>
      </c>
      <c r="E12">
        <v>18.899999999999999</v>
      </c>
      <c r="F12">
        <f t="shared" ref="F12:F15" si="0">E12+45</f>
        <v>63.9</v>
      </c>
      <c r="G12">
        <f t="shared" ref="G12:G15" si="1">D12-F12</f>
        <v>18.100000000000001</v>
      </c>
      <c r="H12">
        <v>2</v>
      </c>
      <c r="I12" s="2">
        <v>0.93069999999999997</v>
      </c>
      <c r="J12">
        <f t="shared" ref="J12:J15" si="2">12*B12*H12*I12</f>
        <v>65639.59058399999</v>
      </c>
      <c r="K12">
        <v>715434</v>
      </c>
      <c r="L12">
        <v>54.637065240083516</v>
      </c>
      <c r="M12">
        <v>55</v>
      </c>
      <c r="N12" s="51">
        <f>Longévité!E13</f>
        <v>0.17</v>
      </c>
      <c r="O12" s="52">
        <v>0.15</v>
      </c>
      <c r="P12" s="15">
        <f>Longévité!D19</f>
        <v>0</v>
      </c>
      <c r="Q12">
        <f>J12*K12*O12*(1-P12)*(1-N12)</f>
        <v>5846618958.8092442</v>
      </c>
      <c r="R12">
        <f t="shared" ref="R12:R15" si="3">F12-(O12*H12)</f>
        <v>63.6</v>
      </c>
      <c r="S12" s="8">
        <f t="shared" ref="S12:S15" si="4">G12*(M12/100)*B12*12</f>
        <v>351048.73980000004</v>
      </c>
      <c r="T12">
        <f t="shared" ref="T12:T15" si="5">H12*B12*12*(M12/100)</f>
        <v>38789.915999999997</v>
      </c>
      <c r="U12" s="2">
        <f t="shared" ref="U12:U15" si="6">T12/S12</f>
        <v>0.11049723756906076</v>
      </c>
    </row>
    <row r="13" spans="1:21" x14ac:dyDescent="0.35">
      <c r="A13">
        <v>3</v>
      </c>
      <c r="B13">
        <v>3547.3</v>
      </c>
      <c r="D13" s="6">
        <f>Longévité!E8</f>
        <v>85</v>
      </c>
      <c r="E13">
        <v>19.670000000000002</v>
      </c>
      <c r="F13">
        <f t="shared" si="0"/>
        <v>64.67</v>
      </c>
      <c r="G13">
        <f t="shared" si="1"/>
        <v>20.329999999999998</v>
      </c>
      <c r="H13">
        <v>1</v>
      </c>
      <c r="I13" s="2">
        <v>0.8506999999999999</v>
      </c>
      <c r="J13">
        <f t="shared" si="2"/>
        <v>36212.257320000004</v>
      </c>
      <c r="K13">
        <v>715434</v>
      </c>
      <c r="L13">
        <v>46.981038622129432</v>
      </c>
      <c r="M13">
        <v>47</v>
      </c>
      <c r="N13" s="51">
        <f>Longévité!E14</f>
        <v>0.12</v>
      </c>
      <c r="O13" s="53">
        <v>7.4999999999999997E-2</v>
      </c>
      <c r="P13" s="15">
        <f>Longévité!D20</f>
        <v>0</v>
      </c>
      <c r="Q13">
        <f>J13*K13*O13*(1-P13)*(1-N13)</f>
        <v>1709893686.8294742</v>
      </c>
      <c r="R13">
        <f t="shared" si="3"/>
        <v>64.594999999999999</v>
      </c>
      <c r="S13" s="8">
        <f t="shared" si="4"/>
        <v>406737.67476000002</v>
      </c>
      <c r="T13">
        <f t="shared" si="5"/>
        <v>20006.772000000001</v>
      </c>
      <c r="U13" s="2">
        <f t="shared" si="6"/>
        <v>4.9188391539596657E-2</v>
      </c>
    </row>
    <row r="14" spans="1:21" x14ac:dyDescent="0.35">
      <c r="A14">
        <v>4</v>
      </c>
      <c r="B14">
        <v>4257.8700000000008</v>
      </c>
      <c r="D14" s="6">
        <f>Longévité!E9</f>
        <v>88</v>
      </c>
      <c r="E14">
        <v>20.59</v>
      </c>
      <c r="F14">
        <f t="shared" si="0"/>
        <v>65.59</v>
      </c>
      <c r="G14">
        <f t="shared" si="1"/>
        <v>22.409999999999997</v>
      </c>
      <c r="H14">
        <v>0</v>
      </c>
      <c r="I14" s="2">
        <v>0.80069999999999997</v>
      </c>
      <c r="J14">
        <f t="shared" si="2"/>
        <v>0</v>
      </c>
      <c r="K14">
        <v>715434</v>
      </c>
      <c r="L14">
        <v>41.82188048016701</v>
      </c>
      <c r="M14">
        <v>42</v>
      </c>
      <c r="N14" s="51">
        <f>Longévité!E15</f>
        <v>0.06</v>
      </c>
      <c r="O14" s="53">
        <v>3.7499999999999999E-2</v>
      </c>
      <c r="P14" s="15">
        <f>Longévité!D21</f>
        <v>0</v>
      </c>
      <c r="Q14">
        <f>J14*K14*O14*(1-P14)*(1-N14)</f>
        <v>0</v>
      </c>
      <c r="R14">
        <f t="shared" si="3"/>
        <v>65.59</v>
      </c>
      <c r="S14" s="8">
        <f t="shared" si="4"/>
        <v>480911.08816800005</v>
      </c>
      <c r="T14">
        <f t="shared" si="5"/>
        <v>0</v>
      </c>
      <c r="U14" s="2">
        <f t="shared" si="6"/>
        <v>0</v>
      </c>
    </row>
    <row r="15" spans="1:21" x14ac:dyDescent="0.35">
      <c r="A15">
        <v>5</v>
      </c>
      <c r="B15">
        <v>6945.6327671119589</v>
      </c>
      <c r="D15" s="6">
        <f>Longévité!E10</f>
        <v>92</v>
      </c>
      <c r="E15">
        <v>22.35</v>
      </c>
      <c r="F15">
        <f t="shared" si="0"/>
        <v>67.349999999999994</v>
      </c>
      <c r="G15">
        <f t="shared" si="1"/>
        <v>24.650000000000006</v>
      </c>
      <c r="H15">
        <v>0</v>
      </c>
      <c r="I15" s="2">
        <v>0.70069999999999988</v>
      </c>
      <c r="J15">
        <f t="shared" si="2"/>
        <v>0</v>
      </c>
      <c r="K15">
        <v>715434</v>
      </c>
      <c r="L15">
        <v>31.862008013311634</v>
      </c>
      <c r="M15">
        <v>32</v>
      </c>
      <c r="N15" s="51">
        <f>Longévité!E16</f>
        <v>0.03</v>
      </c>
      <c r="O15" s="53">
        <f>0.5*O14</f>
        <v>1.8749999999999999E-2</v>
      </c>
      <c r="P15" s="15">
        <f>Longévité!D22</f>
        <v>0</v>
      </c>
      <c r="Q15">
        <f>J15*K15*O15*(1-P15)*(1-N15)</f>
        <v>0</v>
      </c>
      <c r="R15">
        <f t="shared" si="3"/>
        <v>67.349999999999994</v>
      </c>
      <c r="S15" s="8">
        <f t="shared" si="4"/>
        <v>657445.81520374969</v>
      </c>
      <c r="T15">
        <f t="shared" si="5"/>
        <v>0</v>
      </c>
      <c r="U15" s="2">
        <f t="shared" si="6"/>
        <v>0</v>
      </c>
    </row>
    <row r="17" spans="1:17" x14ac:dyDescent="0.35">
      <c r="A17" t="s">
        <v>42</v>
      </c>
      <c r="P17" t="s">
        <v>21</v>
      </c>
      <c r="Q17">
        <f>SUM(Q11:Q15)/1000000</f>
        <v>21446.388930470319</v>
      </c>
    </row>
    <row r="18" spans="1:17" ht="58" x14ac:dyDescent="0.35">
      <c r="A18" t="s">
        <v>8</v>
      </c>
      <c r="B18" s="1" t="s">
        <v>26</v>
      </c>
      <c r="C18" s="1" t="s">
        <v>12</v>
      </c>
      <c r="D18" s="1" t="s">
        <v>16</v>
      </c>
      <c r="E18" s="1" t="s">
        <v>25</v>
      </c>
      <c r="F18" s="1" t="s">
        <v>30</v>
      </c>
    </row>
    <row r="19" spans="1:17" x14ac:dyDescent="0.35">
      <c r="A19" t="s">
        <v>4</v>
      </c>
      <c r="B19" s="9">
        <f>(B14-3854)*12</f>
        <v>4846.4400000000096</v>
      </c>
      <c r="C19" s="1">
        <f>G14</f>
        <v>22.409999999999997</v>
      </c>
      <c r="D19" s="10">
        <v>0.42</v>
      </c>
      <c r="E19" s="11">
        <f>K14*(1-N14)</f>
        <v>672507.96</v>
      </c>
      <c r="F19">
        <f>(E19*D19*C19*B19)</f>
        <v>30676896177.654099</v>
      </c>
      <c r="I19" t="s">
        <v>27</v>
      </c>
      <c r="L19" s="2">
        <f>IF(F22=0,0,Q17/F22)</f>
        <v>9.1744677870704575E-2</v>
      </c>
    </row>
    <row r="20" spans="1:17" x14ac:dyDescent="0.35">
      <c r="A20" t="s">
        <v>5</v>
      </c>
      <c r="B20" s="9">
        <f>(B15-3854)*12</f>
        <v>37099.59320534351</v>
      </c>
      <c r="C20">
        <f>G15</f>
        <v>24.650000000000006</v>
      </c>
      <c r="D20" s="3">
        <v>0.32</v>
      </c>
      <c r="E20" s="11">
        <f>K15*(1-N15)</f>
        <v>693970.98</v>
      </c>
      <c r="F20">
        <f>(E20*D20*C20*B20)</f>
        <v>203084771836.42551</v>
      </c>
    </row>
    <row r="22" spans="1:17" x14ac:dyDescent="0.35">
      <c r="E22" t="s">
        <v>21</v>
      </c>
      <c r="F22" s="8">
        <f>IF(F19&gt;0,(F19+F20)/1000000,0)</f>
        <v>233761.66801407959</v>
      </c>
    </row>
    <row r="23" spans="1:17" x14ac:dyDescent="0.35">
      <c r="B23" t="s">
        <v>28</v>
      </c>
      <c r="I23" t="s">
        <v>23</v>
      </c>
      <c r="L23" s="2">
        <f>((B14-3854)*D19*L19)/B24</f>
        <v>8.7022203711342814E-3</v>
      </c>
    </row>
    <row r="24" spans="1:17" x14ac:dyDescent="0.35">
      <c r="A24" t="s">
        <v>4</v>
      </c>
      <c r="B24">
        <f>D19*B14</f>
        <v>1788.3054000000002</v>
      </c>
      <c r="I24" t="s">
        <v>24</v>
      </c>
      <c r="L24" s="2">
        <f>((B15-3854)*D20*L19)/B25</f>
        <v>4.0837294717950001E-2</v>
      </c>
    </row>
    <row r="25" spans="1:17" x14ac:dyDescent="0.35">
      <c r="A25" t="s">
        <v>5</v>
      </c>
      <c r="B25">
        <f>D20*B15</f>
        <v>2222.6024854758271</v>
      </c>
    </row>
    <row r="27" spans="1:17" x14ac:dyDescent="0.35">
      <c r="A27" t="s">
        <v>43</v>
      </c>
    </row>
    <row r="29" spans="1:17" x14ac:dyDescent="0.35">
      <c r="A29" t="s">
        <v>5</v>
      </c>
      <c r="B29">
        <f>(B15-4804)*12</f>
        <v>25699.593205343506</v>
      </c>
      <c r="C29">
        <f>G15</f>
        <v>24.650000000000006</v>
      </c>
      <c r="D29" s="15">
        <f>D20</f>
        <v>0.32</v>
      </c>
      <c r="E29">
        <f>E20</f>
        <v>693970.98</v>
      </c>
      <c r="F29">
        <f>E29*D29*C29*B29</f>
        <v>140680680607.68948</v>
      </c>
      <c r="I29" t="s">
        <v>27</v>
      </c>
      <c r="L29" s="16">
        <f>IF(F31=0,0,Q17/F31)</f>
        <v>0.15244729296041007</v>
      </c>
    </row>
    <row r="31" spans="1:17" x14ac:dyDescent="0.35">
      <c r="E31" t="s">
        <v>21</v>
      </c>
      <c r="F31" s="8">
        <f>IF(F29&gt;0,F29/1000000,0)</f>
        <v>140680.68060768949</v>
      </c>
      <c r="I31" t="s">
        <v>24</v>
      </c>
      <c r="L31" s="2">
        <f>((B15-4804)*L29*D29)/B25</f>
        <v>4.7005957384828108E-2</v>
      </c>
    </row>
    <row r="35" spans="1:21" ht="87" x14ac:dyDescent="0.35">
      <c r="A35" t="s">
        <v>8</v>
      </c>
      <c r="B35" t="s">
        <v>7</v>
      </c>
      <c r="D35" s="7" t="s">
        <v>9</v>
      </c>
      <c r="E35" s="1" t="s">
        <v>10</v>
      </c>
      <c r="F35" s="1" t="s">
        <v>11</v>
      </c>
      <c r="G35" s="1" t="s">
        <v>12</v>
      </c>
      <c r="H35" s="5" t="s">
        <v>13</v>
      </c>
      <c r="I35" s="4" t="s">
        <v>14</v>
      </c>
      <c r="J35" t="s">
        <v>15</v>
      </c>
      <c r="K35" s="4" t="s">
        <v>17</v>
      </c>
      <c r="L35" s="4" t="s">
        <v>16</v>
      </c>
      <c r="M35" s="4" t="s">
        <v>18</v>
      </c>
      <c r="N35" s="7" t="s">
        <v>29</v>
      </c>
      <c r="O35" s="7" t="s">
        <v>19</v>
      </c>
      <c r="P35" s="7" t="s">
        <v>49</v>
      </c>
      <c r="Q35" s="4" t="s">
        <v>20</v>
      </c>
      <c r="R35" s="4" t="s">
        <v>55</v>
      </c>
      <c r="S35" s="4" t="s">
        <v>56</v>
      </c>
      <c r="T35" s="4" t="s">
        <v>57</v>
      </c>
      <c r="U35" s="4" t="s">
        <v>58</v>
      </c>
    </row>
    <row r="36" spans="1:21" x14ac:dyDescent="0.35">
      <c r="A36" t="s">
        <v>1</v>
      </c>
      <c r="B36">
        <v>2280.2800000000002</v>
      </c>
      <c r="D36" s="6">
        <f>Longévité!F6</f>
        <v>79</v>
      </c>
      <c r="E36">
        <v>18.600000000000001</v>
      </c>
      <c r="F36">
        <f>E36+45</f>
        <v>63.6</v>
      </c>
      <c r="G36">
        <f>D36-F36</f>
        <v>15.399999999999999</v>
      </c>
      <c r="H36" s="6">
        <v>3</v>
      </c>
      <c r="I36" s="2">
        <v>1.0106999999999999</v>
      </c>
      <c r="J36">
        <f>12*B36*H36*I36</f>
        <v>82968.443855999998</v>
      </c>
      <c r="K36">
        <v>715434</v>
      </c>
      <c r="L36">
        <v>62.917981210855949</v>
      </c>
      <c r="M36">
        <v>63</v>
      </c>
      <c r="N36" s="55">
        <f>Longévité!F12</f>
        <v>0</v>
      </c>
      <c r="O36" s="50">
        <v>0.3</v>
      </c>
      <c r="P36" s="12">
        <f>P11</f>
        <v>0</v>
      </c>
      <c r="Q36">
        <f>J36*K36*O36*(1-P36)*(1-N36)</f>
        <v>17807533698.502048</v>
      </c>
      <c r="R36">
        <f>F36-(O36*H36)</f>
        <v>62.7</v>
      </c>
      <c r="S36" s="8">
        <f>G36*(M36/100)*B36*12</f>
        <v>265479.31872000004</v>
      </c>
      <c r="T36">
        <f>H36*B36*12*(M36/100)</f>
        <v>51716.750400000004</v>
      </c>
      <c r="U36" s="2">
        <f>T36/S36</f>
        <v>0.19480519480519479</v>
      </c>
    </row>
    <row r="37" spans="1:21" x14ac:dyDescent="0.35">
      <c r="A37" t="s">
        <v>2</v>
      </c>
      <c r="B37">
        <v>2938.6299999999997</v>
      </c>
      <c r="D37" s="6">
        <f>Longévité!F7</f>
        <v>81</v>
      </c>
      <c r="E37">
        <v>18.899999999999999</v>
      </c>
      <c r="F37">
        <f>E37+45</f>
        <v>63.9</v>
      </c>
      <c r="G37">
        <f>D37-F37</f>
        <v>17.100000000000001</v>
      </c>
      <c r="H37" s="6">
        <v>2</v>
      </c>
      <c r="I37" s="2">
        <v>0.93069999999999997</v>
      </c>
      <c r="J37">
        <f>12*B37*H37*I37</f>
        <v>65639.59058399999</v>
      </c>
      <c r="K37">
        <v>715434</v>
      </c>
      <c r="L37">
        <v>54.637065240083516</v>
      </c>
      <c r="M37">
        <v>55</v>
      </c>
      <c r="N37" s="55">
        <f>Longévité!F13</f>
        <v>0</v>
      </c>
      <c r="O37" s="50">
        <f>0.5*O36</f>
        <v>0.15</v>
      </c>
      <c r="P37" s="12">
        <f t="shared" ref="P37" si="7">P12</f>
        <v>0</v>
      </c>
      <c r="Q37" s="54">
        <f>J37*K37*O37*(1-P37)*(1-N37)</f>
        <v>7044119227.4810171</v>
      </c>
      <c r="R37">
        <f t="shared" ref="R37:R40" si="8">F37-(O37*H37)</f>
        <v>63.6</v>
      </c>
      <c r="S37" s="8">
        <f t="shared" ref="S37:S40" si="9">G37*(M37/100)*B37*12</f>
        <v>331653.7818</v>
      </c>
      <c r="T37">
        <f t="shared" ref="T37:T40" si="10">H37*B37*12*(M37/100)</f>
        <v>38789.915999999997</v>
      </c>
      <c r="U37" s="2">
        <f t="shared" ref="U37:U40" si="11">T37/S37</f>
        <v>0.11695906432748537</v>
      </c>
    </row>
    <row r="38" spans="1:21" x14ac:dyDescent="0.35">
      <c r="A38" t="s">
        <v>3</v>
      </c>
      <c r="B38">
        <v>3547.3</v>
      </c>
      <c r="D38" s="6">
        <f>Longévité!F8</f>
        <v>85</v>
      </c>
      <c r="E38">
        <v>19.670000000000002</v>
      </c>
      <c r="F38">
        <f>E38+45</f>
        <v>64.67</v>
      </c>
      <c r="G38">
        <f>D38-F38</f>
        <v>20.329999999999998</v>
      </c>
      <c r="H38" s="6">
        <v>1</v>
      </c>
      <c r="I38" s="2">
        <v>0.8506999999999999</v>
      </c>
      <c r="J38">
        <f>12*B38*H38*I38</f>
        <v>36212.257320000004</v>
      </c>
      <c r="K38">
        <v>715434</v>
      </c>
      <c r="L38">
        <v>46.981038622129432</v>
      </c>
      <c r="M38">
        <v>47</v>
      </c>
      <c r="N38" s="55">
        <f>Longévité!F14</f>
        <v>0.15</v>
      </c>
      <c r="O38" s="50">
        <f t="shared" ref="O38:O40" si="12">0.5*O37</f>
        <v>7.4999999999999997E-2</v>
      </c>
      <c r="P38" s="12">
        <f t="shared" ref="P38" si="13">P13</f>
        <v>0</v>
      </c>
      <c r="Q38">
        <f>J38*K38*O38*(1-P38)*(1-N38)</f>
        <v>1651601856.5966511</v>
      </c>
      <c r="R38">
        <f t="shared" si="8"/>
        <v>64.594999999999999</v>
      </c>
      <c r="S38" s="8">
        <f t="shared" si="9"/>
        <v>406737.67476000002</v>
      </c>
      <c r="T38">
        <f t="shared" si="10"/>
        <v>20006.772000000001</v>
      </c>
      <c r="U38" s="2">
        <f t="shared" si="11"/>
        <v>4.9188391539596657E-2</v>
      </c>
    </row>
    <row r="39" spans="1:21" x14ac:dyDescent="0.35">
      <c r="A39" t="s">
        <v>4</v>
      </c>
      <c r="B39">
        <v>4257.8700000000008</v>
      </c>
      <c r="D39" s="6">
        <f>Longévité!F9</f>
        <v>89</v>
      </c>
      <c r="E39">
        <v>20.59</v>
      </c>
      <c r="F39">
        <f>E39+45</f>
        <v>65.59</v>
      </c>
      <c r="G39">
        <f>D39-F39</f>
        <v>23.409999999999997</v>
      </c>
      <c r="H39" s="6">
        <v>0</v>
      </c>
      <c r="I39" s="2">
        <v>0.80069999999999997</v>
      </c>
      <c r="J39">
        <f>12*B39*H39*I39</f>
        <v>0</v>
      </c>
      <c r="K39">
        <v>715434</v>
      </c>
      <c r="L39">
        <v>41.82188048016701</v>
      </c>
      <c r="M39">
        <v>42</v>
      </c>
      <c r="N39" s="55">
        <f>Longévité!F15</f>
        <v>0</v>
      </c>
      <c r="O39" s="50">
        <f t="shared" si="12"/>
        <v>3.7499999999999999E-2</v>
      </c>
      <c r="P39" s="12">
        <f t="shared" ref="P39" si="14">P14</f>
        <v>0</v>
      </c>
      <c r="Q39">
        <f>J39*K39*O39*(1-P39)*(1-N39)</f>
        <v>0</v>
      </c>
      <c r="R39">
        <f t="shared" si="8"/>
        <v>65.59</v>
      </c>
      <c r="S39" s="8">
        <f t="shared" si="9"/>
        <v>502370.75296800002</v>
      </c>
      <c r="T39">
        <f t="shared" si="10"/>
        <v>0</v>
      </c>
      <c r="U39" s="2">
        <f t="shared" si="11"/>
        <v>0</v>
      </c>
    </row>
    <row r="40" spans="1:21" x14ac:dyDescent="0.35">
      <c r="A40" t="s">
        <v>5</v>
      </c>
      <c r="B40">
        <v>6945.6327671119589</v>
      </c>
      <c r="D40" s="6">
        <f>Longévité!F10</f>
        <v>92</v>
      </c>
      <c r="E40">
        <v>22.35</v>
      </c>
      <c r="F40">
        <f>E40+45</f>
        <v>67.349999999999994</v>
      </c>
      <c r="G40">
        <f>D40-F40</f>
        <v>24.650000000000006</v>
      </c>
      <c r="H40" s="6">
        <v>0</v>
      </c>
      <c r="I40" s="2">
        <v>0.70069999999999988</v>
      </c>
      <c r="J40">
        <f>12*B40*H40*I40</f>
        <v>0</v>
      </c>
      <c r="K40">
        <v>715434</v>
      </c>
      <c r="L40">
        <v>31.862008013311634</v>
      </c>
      <c r="M40">
        <v>32</v>
      </c>
      <c r="N40" s="55">
        <f>Longévité!F16</f>
        <v>0</v>
      </c>
      <c r="O40" s="50">
        <f t="shared" si="12"/>
        <v>1.8749999999999999E-2</v>
      </c>
      <c r="P40" s="12">
        <f t="shared" ref="P40" si="15">P15</f>
        <v>0</v>
      </c>
      <c r="Q40">
        <f>J40*K40*O40*(1-P40)*(1-N40)</f>
        <v>0</v>
      </c>
      <c r="R40">
        <f t="shared" si="8"/>
        <v>67.349999999999994</v>
      </c>
      <c r="S40" s="8">
        <f t="shared" si="9"/>
        <v>657445.81520374969</v>
      </c>
      <c r="T40">
        <f t="shared" si="10"/>
        <v>0</v>
      </c>
      <c r="U40" s="2">
        <f t="shared" si="11"/>
        <v>0</v>
      </c>
    </row>
    <row r="42" spans="1:21" x14ac:dyDescent="0.35">
      <c r="A42" t="s">
        <v>46</v>
      </c>
      <c r="P42" t="s">
        <v>21</v>
      </c>
      <c r="Q42">
        <f>SUM(Q36:Q40)/1000000</f>
        <v>26503.254782579719</v>
      </c>
    </row>
    <row r="43" spans="1:21" ht="58" x14ac:dyDescent="0.35">
      <c r="A43" t="s">
        <v>8</v>
      </c>
      <c r="B43" s="1" t="s">
        <v>26</v>
      </c>
      <c r="C43" s="1" t="s">
        <v>12</v>
      </c>
      <c r="D43" s="1" t="s">
        <v>16</v>
      </c>
      <c r="E43" s="1" t="s">
        <v>25</v>
      </c>
      <c r="F43" s="1" t="s">
        <v>30</v>
      </c>
    </row>
    <row r="44" spans="1:21" x14ac:dyDescent="0.35">
      <c r="A44" t="s">
        <v>4</v>
      </c>
      <c r="B44" s="9">
        <f>(B39-3854)*12</f>
        <v>4846.4400000000096</v>
      </c>
      <c r="C44" s="1">
        <f>G39</f>
        <v>23.409999999999997</v>
      </c>
      <c r="D44" s="10">
        <v>0.42</v>
      </c>
      <c r="E44" s="11">
        <f>K39*(1-N39)</f>
        <v>715434</v>
      </c>
      <c r="F44">
        <f>(E44*D44*C44*B44)</f>
        <v>34091265274.757771</v>
      </c>
      <c r="I44" t="s">
        <v>27</v>
      </c>
      <c r="L44" s="2">
        <f>IF(F47=0,0,Q42/F47)</f>
        <v>0.10886215535126988</v>
      </c>
    </row>
    <row r="45" spans="1:21" x14ac:dyDescent="0.35">
      <c r="A45" t="s">
        <v>5</v>
      </c>
      <c r="B45" s="9">
        <f>(B40-3854)*12</f>
        <v>37099.59320534351</v>
      </c>
      <c r="C45">
        <f>G40</f>
        <v>24.650000000000006</v>
      </c>
      <c r="D45" s="3">
        <v>0.32</v>
      </c>
      <c r="E45" s="11">
        <f>K40*(1-N40)</f>
        <v>715434</v>
      </c>
      <c r="F45">
        <f>(E45*D45*C45*B45)</f>
        <v>209365744161.26346</v>
      </c>
    </row>
    <row r="47" spans="1:21" x14ac:dyDescent="0.35">
      <c r="E47" t="s">
        <v>21</v>
      </c>
      <c r="F47" s="8">
        <f>IF(F44&gt;0,(F44+F45)/1000000,0)</f>
        <v>243457.00943602124</v>
      </c>
    </row>
    <row r="48" spans="1:21" x14ac:dyDescent="0.35">
      <c r="A48" t="s">
        <v>8</v>
      </c>
      <c r="B48" t="s">
        <v>28</v>
      </c>
      <c r="I48" t="s">
        <v>23</v>
      </c>
      <c r="L48" s="2">
        <f>((B39-3854)*D44*L44)/B49</f>
        <v>1.0325857454952229E-2</v>
      </c>
    </row>
    <row r="49" spans="1:12" x14ac:dyDescent="0.35">
      <c r="A49" t="s">
        <v>4</v>
      </c>
      <c r="B49">
        <f>D44*B39</f>
        <v>1788.3054000000002</v>
      </c>
      <c r="I49" t="s">
        <v>24</v>
      </c>
      <c r="L49" s="2">
        <f>((B40-3854)*D45*L44)/B50</f>
        <v>4.8456608327474684E-2</v>
      </c>
    </row>
    <row r="50" spans="1:12" x14ac:dyDescent="0.35">
      <c r="A50" t="s">
        <v>5</v>
      </c>
      <c r="B50">
        <f>D45*B40</f>
        <v>2222.6024854758271</v>
      </c>
    </row>
    <row r="52" spans="1:12" x14ac:dyDescent="0.35">
      <c r="A52" t="s">
        <v>47</v>
      </c>
    </row>
    <row r="54" spans="1:12" x14ac:dyDescent="0.35">
      <c r="A54" t="s">
        <v>5</v>
      </c>
      <c r="B54">
        <f>(B40-4804)*12</f>
        <v>25699.593205343506</v>
      </c>
      <c r="C54">
        <f>G40</f>
        <v>24.650000000000006</v>
      </c>
      <c r="D54" s="15">
        <f>D45</f>
        <v>0.32</v>
      </c>
      <c r="E54">
        <f>K40*(1-N40)</f>
        <v>715434</v>
      </c>
      <c r="F54">
        <f>B54*C54*D54*E54</f>
        <v>145031629492.46341</v>
      </c>
      <c r="I54" t="s">
        <v>27</v>
      </c>
      <c r="L54">
        <f>IF(F56=0,0,Q42/F56)</f>
        <v>0.18274120531726473</v>
      </c>
    </row>
    <row r="56" spans="1:12" x14ac:dyDescent="0.35">
      <c r="E56" t="s">
        <v>21</v>
      </c>
      <c r="F56">
        <f>IF(F54&gt;0,F54/1000000,0)</f>
        <v>145031.6294924634</v>
      </c>
      <c r="I56" t="s">
        <v>24</v>
      </c>
      <c r="L56" s="2">
        <f>((B40-4804)*D54*L54)/B50</f>
        <v>5.6346853675035329E-2</v>
      </c>
    </row>
  </sheetData>
  <sheetProtection algorithmName="SHA-512" hashValue="C3Lsl34rlsmPnzCjYV88SSPlOqrJh1LK1MJgI9ynrEoJpb2SwGMOQByJLOkITIXxcCh5Vn7cu+lhzeG71Pj8tg==" saltValue="Fb2+NzR6k+afbRwzJB3/X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7"/>
  <sheetViews>
    <sheetView workbookViewId="0">
      <selection activeCell="P9" sqref="P9"/>
    </sheetView>
  </sheetViews>
  <sheetFormatPr baseColWidth="10" defaultRowHeight="14.5" x14ac:dyDescent="0.35"/>
  <sheetData>
    <row r="1" spans="1:21" ht="87" x14ac:dyDescent="0.35">
      <c r="A1" t="s">
        <v>8</v>
      </c>
      <c r="B1" t="s">
        <v>7</v>
      </c>
      <c r="D1" s="4" t="s">
        <v>9</v>
      </c>
      <c r="E1" s="1" t="s">
        <v>10</v>
      </c>
      <c r="F1" s="1" t="s">
        <v>11</v>
      </c>
      <c r="G1" s="1" t="s">
        <v>12</v>
      </c>
      <c r="H1" s="5" t="s">
        <v>13</v>
      </c>
      <c r="I1" s="4" t="s">
        <v>14</v>
      </c>
      <c r="J1" t="s">
        <v>15</v>
      </c>
      <c r="K1" s="4" t="s">
        <v>17</v>
      </c>
      <c r="L1" s="4" t="s">
        <v>16</v>
      </c>
      <c r="M1" s="4" t="s">
        <v>18</v>
      </c>
      <c r="N1" s="4" t="s">
        <v>29</v>
      </c>
      <c r="O1" s="7" t="s">
        <v>19</v>
      </c>
      <c r="P1" s="7" t="s">
        <v>49</v>
      </c>
      <c r="Q1" s="4" t="s">
        <v>20</v>
      </c>
      <c r="R1" s="4" t="s">
        <v>55</v>
      </c>
      <c r="S1" s="4" t="s">
        <v>56</v>
      </c>
      <c r="T1" s="4" t="s">
        <v>57</v>
      </c>
      <c r="U1" s="4" t="s">
        <v>58</v>
      </c>
    </row>
    <row r="2" spans="1:21" x14ac:dyDescent="0.35">
      <c r="A2" t="s">
        <v>1</v>
      </c>
      <c r="B2">
        <v>2280.2800000000002</v>
      </c>
      <c r="D2">
        <v>81.400000000000006</v>
      </c>
      <c r="E2">
        <v>18.600000000000001</v>
      </c>
      <c r="F2">
        <f>E2+45</f>
        <v>63.6</v>
      </c>
      <c r="G2">
        <f>D2-F2</f>
        <v>17.800000000000004</v>
      </c>
      <c r="H2" s="6">
        <v>3</v>
      </c>
      <c r="I2" s="2">
        <v>1.0106999999999999</v>
      </c>
      <c r="J2">
        <f>12*B2*H2*I2</f>
        <v>82968.443855999998</v>
      </c>
      <c r="K2">
        <v>715434</v>
      </c>
      <c r="L2">
        <v>62.917981210855949</v>
      </c>
      <c r="M2">
        <v>63</v>
      </c>
      <c r="N2" s="14">
        <v>0.2082</v>
      </c>
      <c r="O2" s="12">
        <v>0.3</v>
      </c>
      <c r="P2" s="12">
        <f>Anticipation!D6</f>
        <v>0.5</v>
      </c>
      <c r="Q2">
        <f>J2*K2*O2*(1-P2)*(1-N2)</f>
        <v>7050002591.2369614</v>
      </c>
      <c r="R2">
        <f>F2-(O2*H2)</f>
        <v>62.7</v>
      </c>
      <c r="S2" s="8">
        <f>G2*(M2/100)*B2*12</f>
        <v>306852.71904000011</v>
      </c>
      <c r="T2">
        <f>H2*B2*12*(M2/100)</f>
        <v>51716.750400000004</v>
      </c>
      <c r="U2" s="2">
        <f>T2/S2</f>
        <v>0.16853932584269657</v>
      </c>
    </row>
    <row r="3" spans="1:21" x14ac:dyDescent="0.35">
      <c r="A3" t="s">
        <v>2</v>
      </c>
      <c r="B3">
        <v>2938.6299999999997</v>
      </c>
      <c r="D3">
        <v>83.4</v>
      </c>
      <c r="E3">
        <v>18.899999999999999</v>
      </c>
      <c r="F3">
        <f>E3+45</f>
        <v>63.9</v>
      </c>
      <c r="G3">
        <f>D3-F3</f>
        <v>19.500000000000007</v>
      </c>
      <c r="H3" s="6">
        <v>2</v>
      </c>
      <c r="I3" s="2">
        <v>0.93069999999999997</v>
      </c>
      <c r="J3">
        <f>12*B3*H3*I3</f>
        <v>65639.59058399999</v>
      </c>
      <c r="K3">
        <v>715434</v>
      </c>
      <c r="L3">
        <v>54.637065240083516</v>
      </c>
      <c r="M3">
        <v>55</v>
      </c>
      <c r="N3" s="14">
        <v>0.15615000000000001</v>
      </c>
      <c r="O3" s="12">
        <f>0.5*O2</f>
        <v>0.15</v>
      </c>
      <c r="P3" s="12">
        <f>Anticipation!D7</f>
        <v>0.25</v>
      </c>
      <c r="Q3">
        <f>J3*K3*O3*(1-P3)*(1-N3)</f>
        <v>4458135007.5823917</v>
      </c>
      <c r="R3">
        <f t="shared" ref="R3:R6" si="0">F3-(O3*H3)</f>
        <v>63.6</v>
      </c>
      <c r="S3" s="8">
        <f t="shared" ref="S3:S6" si="1">G3*(M3/100)*B3*12</f>
        <v>378201.6810000001</v>
      </c>
      <c r="T3">
        <f t="shared" ref="T3:T6" si="2">H3*B3*12*(M3/100)</f>
        <v>38789.915999999997</v>
      </c>
      <c r="U3" s="2">
        <f t="shared" ref="U3:U6" si="3">T3/S3</f>
        <v>0.10256410256410253</v>
      </c>
    </row>
    <row r="4" spans="1:21" x14ac:dyDescent="0.35">
      <c r="A4" t="s">
        <v>3</v>
      </c>
      <c r="B4">
        <v>3547.3</v>
      </c>
      <c r="D4">
        <v>85.4</v>
      </c>
      <c r="E4">
        <v>19.670000000000002</v>
      </c>
      <c r="F4">
        <f>E4+45</f>
        <v>64.67</v>
      </c>
      <c r="G4">
        <f>D4-F4</f>
        <v>20.730000000000004</v>
      </c>
      <c r="H4" s="6">
        <v>1</v>
      </c>
      <c r="I4" s="2">
        <v>0.8506999999999999</v>
      </c>
      <c r="J4">
        <f>12*B4*H4*I4</f>
        <v>36212.257320000004</v>
      </c>
      <c r="K4">
        <v>715434</v>
      </c>
      <c r="L4">
        <v>46.981038622129432</v>
      </c>
      <c r="M4">
        <v>47</v>
      </c>
      <c r="N4" s="14">
        <v>0.1041</v>
      </c>
      <c r="O4" s="12">
        <f t="shared" ref="O4:O6" si="4">0.5*O3</f>
        <v>7.4999999999999997E-2</v>
      </c>
      <c r="P4" s="12">
        <f>Anticipation!D8</f>
        <v>0.125</v>
      </c>
      <c r="Q4">
        <f>J4*K4*O4*(1-P4)*(1-N4)</f>
        <v>1523189812.2462616</v>
      </c>
      <c r="R4">
        <f t="shared" si="0"/>
        <v>64.594999999999999</v>
      </c>
      <c r="S4" s="8">
        <f t="shared" si="1"/>
        <v>414740.3835600001</v>
      </c>
      <c r="T4">
        <f t="shared" si="2"/>
        <v>20006.772000000001</v>
      </c>
      <c r="U4" s="2">
        <f t="shared" si="3"/>
        <v>4.8239266763145189E-2</v>
      </c>
    </row>
    <row r="5" spans="1:21" x14ac:dyDescent="0.35">
      <c r="A5" t="s">
        <v>4</v>
      </c>
      <c r="B5">
        <v>4257.8700000000008</v>
      </c>
      <c r="D5">
        <v>87.4</v>
      </c>
      <c r="E5">
        <v>20.59</v>
      </c>
      <c r="F5">
        <f>E5+45</f>
        <v>65.59</v>
      </c>
      <c r="G5">
        <f>D5-F5</f>
        <v>21.810000000000002</v>
      </c>
      <c r="H5" s="6">
        <v>0</v>
      </c>
      <c r="I5" s="2">
        <v>0.80069999999999997</v>
      </c>
      <c r="J5">
        <f>12*B5*H5*I5</f>
        <v>0</v>
      </c>
      <c r="K5">
        <v>715434</v>
      </c>
      <c r="L5">
        <v>41.82188048016701</v>
      </c>
      <c r="M5">
        <v>42</v>
      </c>
      <c r="N5" s="14">
        <v>7.8075000000000006E-2</v>
      </c>
      <c r="O5" s="12">
        <f t="shared" si="4"/>
        <v>3.7499999999999999E-2</v>
      </c>
      <c r="P5" s="12">
        <f>Anticipation!D9</f>
        <v>0</v>
      </c>
      <c r="Q5">
        <f>J5*K5*O5*(1-P5)*(1-N5)</f>
        <v>0</v>
      </c>
      <c r="R5">
        <f t="shared" si="0"/>
        <v>65.59</v>
      </c>
      <c r="S5" s="8">
        <f t="shared" si="1"/>
        <v>468035.2892880002</v>
      </c>
      <c r="T5">
        <f t="shared" si="2"/>
        <v>0</v>
      </c>
      <c r="U5" s="2">
        <f t="shared" si="3"/>
        <v>0</v>
      </c>
    </row>
    <row r="6" spans="1:21" x14ac:dyDescent="0.35">
      <c r="A6" t="s">
        <v>5</v>
      </c>
      <c r="B6">
        <v>6945.6327671119589</v>
      </c>
      <c r="D6">
        <v>89.4</v>
      </c>
      <c r="E6">
        <v>22.35</v>
      </c>
      <c r="F6">
        <f>E6+45</f>
        <v>67.349999999999994</v>
      </c>
      <c r="G6">
        <f>D6-F6</f>
        <v>22.050000000000011</v>
      </c>
      <c r="H6" s="6">
        <v>0</v>
      </c>
      <c r="I6" s="2">
        <v>0.70069999999999988</v>
      </c>
      <c r="J6">
        <f>12*B6*H6*I6</f>
        <v>0</v>
      </c>
      <c r="K6">
        <v>715434</v>
      </c>
      <c r="L6">
        <v>31.862008013311634</v>
      </c>
      <c r="M6">
        <v>32</v>
      </c>
      <c r="N6" s="14">
        <v>5.2049999999999999E-2</v>
      </c>
      <c r="O6" s="12">
        <f t="shared" si="4"/>
        <v>1.8749999999999999E-2</v>
      </c>
      <c r="P6" s="12">
        <f>Anticipation!D10</f>
        <v>0</v>
      </c>
      <c r="Q6">
        <f>J6*K6*O6*(1-P6)*(1-N6)</f>
        <v>0</v>
      </c>
      <c r="R6">
        <f t="shared" si="0"/>
        <v>67.349999999999994</v>
      </c>
      <c r="S6" s="8">
        <f t="shared" si="1"/>
        <v>588100.61765690404</v>
      </c>
      <c r="T6">
        <f t="shared" si="2"/>
        <v>0</v>
      </c>
      <c r="U6" s="2">
        <f t="shared" si="3"/>
        <v>0</v>
      </c>
    </row>
    <row r="8" spans="1:21" x14ac:dyDescent="0.35">
      <c r="A8" t="s">
        <v>46</v>
      </c>
      <c r="P8" t="s">
        <v>21</v>
      </c>
      <c r="Q8">
        <f>SUM(Q2:Q6)/1000000</f>
        <v>13031.327411065615</v>
      </c>
    </row>
    <row r="9" spans="1:21" ht="58" x14ac:dyDescent="0.35">
      <c r="A9" t="s">
        <v>8</v>
      </c>
      <c r="B9" s="1" t="s">
        <v>26</v>
      </c>
      <c r="C9" s="1" t="s">
        <v>12</v>
      </c>
      <c r="D9" s="1" t="s">
        <v>16</v>
      </c>
      <c r="E9" s="1" t="s">
        <v>25</v>
      </c>
      <c r="F9" s="1" t="s">
        <v>30</v>
      </c>
    </row>
    <row r="10" spans="1:21" x14ac:dyDescent="0.35">
      <c r="A10" t="s">
        <v>4</v>
      </c>
      <c r="B10" s="9">
        <f>(B5-3854)*12</f>
        <v>4846.4400000000096</v>
      </c>
      <c r="C10" s="1">
        <f>G5</f>
        <v>21.810000000000002</v>
      </c>
      <c r="D10" s="10">
        <v>0.42</v>
      </c>
      <c r="E10" s="11">
        <f>K5*(1-N5)</f>
        <v>659576.49045000004</v>
      </c>
      <c r="F10">
        <f>(E10*D10*C10*B10)</f>
        <v>29281475958.78606</v>
      </c>
      <c r="I10" t="s">
        <v>27</v>
      </c>
      <c r="L10" s="2">
        <f>Q8/F13</f>
        <v>6.3009292469438538E-2</v>
      </c>
    </row>
    <row r="11" spans="1:21" x14ac:dyDescent="0.35">
      <c r="A11" t="s">
        <v>5</v>
      </c>
      <c r="B11" s="9">
        <f>(B6-3854)*12</f>
        <v>37099.59320534351</v>
      </c>
      <c r="C11">
        <f>G6</f>
        <v>22.050000000000011</v>
      </c>
      <c r="D11" s="3">
        <v>0.32</v>
      </c>
      <c r="E11" s="11">
        <f>K6*(1-N6)</f>
        <v>678195.66029999999</v>
      </c>
      <c r="F11">
        <f>(E11*D11*C11*B11)</f>
        <v>177534485629.51794</v>
      </c>
    </row>
    <row r="13" spans="1:21" x14ac:dyDescent="0.35">
      <c r="E13" t="s">
        <v>21</v>
      </c>
      <c r="F13" s="8">
        <f>(F10+F11)/1000000</f>
        <v>206815.96158830402</v>
      </c>
    </row>
    <row r="14" spans="1:21" x14ac:dyDescent="0.35">
      <c r="A14" t="s">
        <v>8</v>
      </c>
      <c r="B14" t="s">
        <v>28</v>
      </c>
      <c r="I14" t="s">
        <v>23</v>
      </c>
      <c r="L14" s="2">
        <f>((B5-3854)*D10*L10)/B15</f>
        <v>5.976594623516498E-3</v>
      </c>
    </row>
    <row r="15" spans="1:21" x14ac:dyDescent="0.35">
      <c r="A15" t="s">
        <v>4</v>
      </c>
      <c r="B15">
        <f>D10*B5</f>
        <v>1788.3054000000002</v>
      </c>
      <c r="I15" t="s">
        <v>24</v>
      </c>
      <c r="L15" s="2">
        <f>((B6-3854)*D11*L10)/B16</f>
        <v>2.804663012900073E-2</v>
      </c>
    </row>
    <row r="16" spans="1:21" x14ac:dyDescent="0.35">
      <c r="A16" t="s">
        <v>5</v>
      </c>
      <c r="B16">
        <f>D11*B6</f>
        <v>2222.6024854758271</v>
      </c>
    </row>
    <row r="18" spans="1:21" x14ac:dyDescent="0.35">
      <c r="A18" t="s">
        <v>47</v>
      </c>
    </row>
    <row r="20" spans="1:21" x14ac:dyDescent="0.35">
      <c r="A20" t="s">
        <v>5</v>
      </c>
      <c r="B20">
        <f>(B6-4804)*12</f>
        <v>25699.593205343506</v>
      </c>
      <c r="C20">
        <f>G6</f>
        <v>22.050000000000011</v>
      </c>
      <c r="D20" s="15">
        <f>D11</f>
        <v>0.32</v>
      </c>
      <c r="E20">
        <f>K6*(1-N6)</f>
        <v>678195.66029999999</v>
      </c>
      <c r="F20">
        <f>B20*C20*D20*E20</f>
        <v>122981511828.04239</v>
      </c>
      <c r="I20" t="s">
        <v>27</v>
      </c>
      <c r="L20">
        <f>Q8/F22</f>
        <v>0.1059616784455092</v>
      </c>
    </row>
    <row r="22" spans="1:21" x14ac:dyDescent="0.35">
      <c r="E22" t="s">
        <v>21</v>
      </c>
      <c r="F22">
        <f>F20/1000000</f>
        <v>122981.51182804239</v>
      </c>
      <c r="I22" t="s">
        <v>24</v>
      </c>
      <c r="L22" s="2">
        <f>((B6-4804)*D20*L20)/B16</f>
        <v>3.2672473513373337E-2</v>
      </c>
    </row>
    <row r="26" spans="1:21" ht="87" x14ac:dyDescent="0.35">
      <c r="A26" t="s">
        <v>8</v>
      </c>
      <c r="B26" t="s">
        <v>7</v>
      </c>
      <c r="D26" s="4" t="s">
        <v>9</v>
      </c>
      <c r="E26" s="1" t="s">
        <v>10</v>
      </c>
      <c r="F26" s="1" t="s">
        <v>11</v>
      </c>
      <c r="G26" s="1" t="s">
        <v>12</v>
      </c>
      <c r="H26" s="5" t="s">
        <v>13</v>
      </c>
      <c r="I26" s="4" t="s">
        <v>14</v>
      </c>
      <c r="J26" t="s">
        <v>15</v>
      </c>
      <c r="K26" s="4" t="s">
        <v>17</v>
      </c>
      <c r="L26" s="4" t="s">
        <v>16</v>
      </c>
      <c r="M26" s="4" t="s">
        <v>18</v>
      </c>
      <c r="N26" s="4" t="s">
        <v>29</v>
      </c>
      <c r="O26" s="7" t="s">
        <v>19</v>
      </c>
      <c r="P26" s="7" t="s">
        <v>49</v>
      </c>
      <c r="Q26" s="4" t="s">
        <v>20</v>
      </c>
      <c r="R26" s="4" t="s">
        <v>55</v>
      </c>
      <c r="S26" s="4" t="s">
        <v>56</v>
      </c>
      <c r="T26" s="4" t="s">
        <v>57</v>
      </c>
      <c r="U26" s="4" t="s">
        <v>58</v>
      </c>
    </row>
    <row r="27" spans="1:21" x14ac:dyDescent="0.35">
      <c r="A27" t="s">
        <v>1</v>
      </c>
      <c r="B27">
        <v>2280.2800000000002</v>
      </c>
      <c r="D27">
        <v>81.400000000000006</v>
      </c>
      <c r="E27">
        <v>18.600000000000001</v>
      </c>
      <c r="F27">
        <f>E27+45</f>
        <v>63.6</v>
      </c>
      <c r="G27">
        <f>D27-F27</f>
        <v>17.800000000000004</v>
      </c>
      <c r="H27" s="6">
        <f>H2</f>
        <v>3</v>
      </c>
      <c r="I27" s="2">
        <v>1.0106999999999999</v>
      </c>
      <c r="J27">
        <f>12*B27*H27*I27</f>
        <v>82968.443855999998</v>
      </c>
      <c r="K27">
        <v>715434</v>
      </c>
      <c r="L27">
        <v>62.917981210855949</v>
      </c>
      <c r="M27">
        <v>63</v>
      </c>
      <c r="N27" s="14">
        <v>0.2082</v>
      </c>
      <c r="O27" s="12">
        <f>O2</f>
        <v>0.3</v>
      </c>
      <c r="P27" s="12">
        <f>Anticipation!E6</f>
        <v>0.7</v>
      </c>
      <c r="Q27">
        <f>J27*K27*O27*(1-P27)*(1-N27)</f>
        <v>4230001554.7421775</v>
      </c>
      <c r="R27">
        <f>F27-(O27*H27)</f>
        <v>62.7</v>
      </c>
      <c r="S27" s="8">
        <f>G27*(M27/100)*B27*12</f>
        <v>306852.71904000011</v>
      </c>
      <c r="T27">
        <f>H27*B27*12*(M27/100)</f>
        <v>51716.750400000004</v>
      </c>
      <c r="U27" s="2">
        <f>T27/S27</f>
        <v>0.16853932584269657</v>
      </c>
    </row>
    <row r="28" spans="1:21" x14ac:dyDescent="0.35">
      <c r="A28" t="s">
        <v>2</v>
      </c>
      <c r="B28">
        <v>2938.6299999999997</v>
      </c>
      <c r="D28">
        <v>83.4</v>
      </c>
      <c r="E28">
        <v>18.899999999999999</v>
      </c>
      <c r="F28">
        <f>E28+45</f>
        <v>63.9</v>
      </c>
      <c r="G28">
        <f>D28-F28</f>
        <v>19.500000000000007</v>
      </c>
      <c r="H28" s="6">
        <f t="shared" ref="H28:H31" si="5">H3</f>
        <v>2</v>
      </c>
      <c r="I28" s="2">
        <v>0.93069999999999997</v>
      </c>
      <c r="J28">
        <f>12*B28*H28*I28</f>
        <v>65639.59058399999</v>
      </c>
      <c r="K28">
        <v>715434</v>
      </c>
      <c r="L28">
        <v>54.637065240083516</v>
      </c>
      <c r="M28">
        <v>55</v>
      </c>
      <c r="N28" s="14">
        <v>0.15615000000000001</v>
      </c>
      <c r="O28" s="12">
        <f t="shared" ref="O28:O31" si="6">O3</f>
        <v>0.15</v>
      </c>
      <c r="P28" s="12">
        <f>Anticipation!E7</f>
        <v>0.35</v>
      </c>
      <c r="Q28">
        <f>J28*K28*O28*(1-P28)*(1-N28)</f>
        <v>3863717006.5714068</v>
      </c>
      <c r="R28">
        <f t="shared" ref="R28:R31" si="7">F28-(O28*H28)</f>
        <v>63.6</v>
      </c>
      <c r="S28" s="8">
        <f t="shared" ref="S28:S31" si="8">G28*(M28/100)*B28*12</f>
        <v>378201.6810000001</v>
      </c>
      <c r="T28">
        <f t="shared" ref="T28:T31" si="9">H28*B28*12*(M28/100)</f>
        <v>38789.915999999997</v>
      </c>
      <c r="U28" s="2">
        <f t="shared" ref="U28:U31" si="10">T28/S28</f>
        <v>0.10256410256410253</v>
      </c>
    </row>
    <row r="29" spans="1:21" x14ac:dyDescent="0.35">
      <c r="A29" t="s">
        <v>3</v>
      </c>
      <c r="B29">
        <v>3547.3</v>
      </c>
      <c r="D29">
        <v>85.4</v>
      </c>
      <c r="E29">
        <v>19.670000000000002</v>
      </c>
      <c r="F29">
        <f>E29+45</f>
        <v>64.67</v>
      </c>
      <c r="G29">
        <f>D29-F29</f>
        <v>20.730000000000004</v>
      </c>
      <c r="H29" s="6">
        <f t="shared" si="5"/>
        <v>1</v>
      </c>
      <c r="I29" s="2">
        <v>0.8506999999999999</v>
      </c>
      <c r="J29">
        <f>12*B29*H29*I29</f>
        <v>36212.257320000004</v>
      </c>
      <c r="K29">
        <v>715434</v>
      </c>
      <c r="L29">
        <v>46.981038622129432</v>
      </c>
      <c r="M29">
        <v>47</v>
      </c>
      <c r="N29" s="14">
        <v>0.1041</v>
      </c>
      <c r="O29" s="12">
        <f t="shared" si="6"/>
        <v>7.4999999999999997E-2</v>
      </c>
      <c r="P29" s="12">
        <f>Anticipation!E8</f>
        <v>0.17499999999999999</v>
      </c>
      <c r="Q29">
        <f>J29*K29*O29*(1-P29)*(1-N29)</f>
        <v>1436150394.4036181</v>
      </c>
      <c r="R29">
        <f t="shared" si="7"/>
        <v>64.594999999999999</v>
      </c>
      <c r="S29" s="8">
        <f t="shared" si="8"/>
        <v>414740.3835600001</v>
      </c>
      <c r="T29">
        <f t="shared" si="9"/>
        <v>20006.772000000001</v>
      </c>
      <c r="U29" s="2">
        <f t="shared" si="10"/>
        <v>4.8239266763145189E-2</v>
      </c>
    </row>
    <row r="30" spans="1:21" x14ac:dyDescent="0.35">
      <c r="A30" t="s">
        <v>4</v>
      </c>
      <c r="B30">
        <v>4257.8700000000008</v>
      </c>
      <c r="D30">
        <v>87.4</v>
      </c>
      <c r="E30">
        <v>20.59</v>
      </c>
      <c r="F30">
        <f>E30+45</f>
        <v>65.59</v>
      </c>
      <c r="G30">
        <f>D30-F30</f>
        <v>21.810000000000002</v>
      </c>
      <c r="H30" s="6">
        <f t="shared" si="5"/>
        <v>0</v>
      </c>
      <c r="I30" s="2">
        <v>0.80069999999999997</v>
      </c>
      <c r="J30">
        <f>12*B30*H30*I30</f>
        <v>0</v>
      </c>
      <c r="K30">
        <v>715434</v>
      </c>
      <c r="L30">
        <v>41.82188048016701</v>
      </c>
      <c r="M30">
        <v>42</v>
      </c>
      <c r="N30" s="14">
        <v>7.8075000000000006E-2</v>
      </c>
      <c r="O30" s="12">
        <f t="shared" si="6"/>
        <v>3.7499999999999999E-2</v>
      </c>
      <c r="P30" s="12">
        <f>Anticipation!E9</f>
        <v>0</v>
      </c>
      <c r="Q30">
        <f>J30*K30*O30*(1-P30)*(1-N30)</f>
        <v>0</v>
      </c>
      <c r="R30">
        <f t="shared" si="7"/>
        <v>65.59</v>
      </c>
      <c r="S30" s="8">
        <f t="shared" si="8"/>
        <v>468035.2892880002</v>
      </c>
      <c r="T30">
        <f t="shared" si="9"/>
        <v>0</v>
      </c>
      <c r="U30" s="2">
        <f t="shared" si="10"/>
        <v>0</v>
      </c>
    </row>
    <row r="31" spans="1:21" x14ac:dyDescent="0.35">
      <c r="A31" t="s">
        <v>5</v>
      </c>
      <c r="B31">
        <v>6945.6327671119589</v>
      </c>
      <c r="D31">
        <v>89.4</v>
      </c>
      <c r="E31">
        <v>22.35</v>
      </c>
      <c r="F31">
        <f>E31+45</f>
        <v>67.349999999999994</v>
      </c>
      <c r="G31">
        <f>D31-F31</f>
        <v>22.050000000000011</v>
      </c>
      <c r="H31" s="6">
        <f t="shared" si="5"/>
        <v>0</v>
      </c>
      <c r="I31" s="2">
        <v>0.70069999999999988</v>
      </c>
      <c r="J31">
        <f>12*B31*H31*I31</f>
        <v>0</v>
      </c>
      <c r="K31">
        <v>715434</v>
      </c>
      <c r="L31">
        <v>31.862008013311634</v>
      </c>
      <c r="M31">
        <v>32</v>
      </c>
      <c r="N31" s="14">
        <v>5.2049999999999999E-2</v>
      </c>
      <c r="O31" s="12">
        <f t="shared" si="6"/>
        <v>1.8749999999999999E-2</v>
      </c>
      <c r="P31" s="12">
        <f>Anticipation!E10</f>
        <v>0</v>
      </c>
      <c r="Q31">
        <f>J31*K31*O31*(1-P31)*(1-N31)</f>
        <v>0</v>
      </c>
      <c r="R31">
        <f t="shared" si="7"/>
        <v>67.349999999999994</v>
      </c>
      <c r="S31" s="8">
        <f t="shared" si="8"/>
        <v>588100.61765690404</v>
      </c>
      <c r="T31">
        <f t="shared" si="9"/>
        <v>0</v>
      </c>
      <c r="U31" s="2">
        <f t="shared" si="10"/>
        <v>0</v>
      </c>
    </row>
    <row r="33" spans="1:17" x14ac:dyDescent="0.35">
      <c r="A33" t="s">
        <v>46</v>
      </c>
      <c r="P33" t="s">
        <v>21</v>
      </c>
      <c r="Q33">
        <f>SUM(Q27:Q31)/1000000</f>
        <v>9529.8689557172038</v>
      </c>
    </row>
    <row r="34" spans="1:17" ht="58" x14ac:dyDescent="0.35">
      <c r="A34" t="s">
        <v>8</v>
      </c>
      <c r="B34" s="1" t="s">
        <v>26</v>
      </c>
      <c r="C34" s="1" t="s">
        <v>12</v>
      </c>
      <c r="D34" s="1" t="s">
        <v>16</v>
      </c>
      <c r="E34" s="1" t="s">
        <v>25</v>
      </c>
      <c r="F34" s="1" t="s">
        <v>30</v>
      </c>
    </row>
    <row r="35" spans="1:17" x14ac:dyDescent="0.35">
      <c r="A35" t="s">
        <v>4</v>
      </c>
      <c r="B35" s="9">
        <f>(B30-3854)*12</f>
        <v>4846.4400000000096</v>
      </c>
      <c r="C35" s="1">
        <f>G30</f>
        <v>21.810000000000002</v>
      </c>
      <c r="D35" s="10">
        <v>0.42</v>
      </c>
      <c r="E35" s="11">
        <f>K30*(1-N30)</f>
        <v>659576.49045000004</v>
      </c>
      <c r="F35">
        <f>(E35*D35*C35*B35)</f>
        <v>29281475958.78606</v>
      </c>
      <c r="I35" t="s">
        <v>27</v>
      </c>
      <c r="L35" s="2">
        <f>Q33/F38</f>
        <v>4.607898192445966E-2</v>
      </c>
    </row>
    <row r="36" spans="1:17" x14ac:dyDescent="0.35">
      <c r="A36" t="s">
        <v>5</v>
      </c>
      <c r="B36" s="9">
        <f>(B31-3854)*12</f>
        <v>37099.59320534351</v>
      </c>
      <c r="C36">
        <f>G31</f>
        <v>22.050000000000011</v>
      </c>
      <c r="D36" s="3">
        <v>0.32</v>
      </c>
      <c r="E36" s="11">
        <f>K31*(1-N31)</f>
        <v>678195.66029999999</v>
      </c>
      <c r="F36">
        <f>(E36*D36*C36*B36)</f>
        <v>177534485629.51794</v>
      </c>
    </row>
    <row r="38" spans="1:17" x14ac:dyDescent="0.35">
      <c r="E38" t="s">
        <v>21</v>
      </c>
      <c r="F38" s="8">
        <f>(F35+F36)/1000000</f>
        <v>206815.96158830402</v>
      </c>
    </row>
    <row r="39" spans="1:17" x14ac:dyDescent="0.35">
      <c r="A39" t="s">
        <v>8</v>
      </c>
      <c r="B39" t="s">
        <v>28</v>
      </c>
      <c r="I39" t="s">
        <v>23</v>
      </c>
      <c r="L39" s="2">
        <f>((B30-3854)*D35*L35)/B40</f>
        <v>4.3707108084163103E-3</v>
      </c>
    </row>
    <row r="40" spans="1:17" x14ac:dyDescent="0.35">
      <c r="A40" t="s">
        <v>4</v>
      </c>
      <c r="B40">
        <f>D35*B30</f>
        <v>1788.3054000000002</v>
      </c>
      <c r="I40" t="s">
        <v>24</v>
      </c>
      <c r="L40" s="2">
        <f>((B31-3854)*D36*L35)/B41</f>
        <v>2.0510628069392543E-2</v>
      </c>
    </row>
    <row r="41" spans="1:17" x14ac:dyDescent="0.35">
      <c r="A41" t="s">
        <v>5</v>
      </c>
      <c r="B41">
        <f>D36*B31</f>
        <v>2222.6024854758271</v>
      </c>
    </row>
    <row r="43" spans="1:17" x14ac:dyDescent="0.35">
      <c r="A43" t="s">
        <v>47</v>
      </c>
    </row>
    <row r="45" spans="1:17" x14ac:dyDescent="0.35">
      <c r="A45" t="s">
        <v>5</v>
      </c>
      <c r="B45">
        <f>(B31-4804)*12</f>
        <v>25699.593205343506</v>
      </c>
      <c r="C45">
        <f>G31</f>
        <v>22.050000000000011</v>
      </c>
      <c r="D45" s="15">
        <f>D36</f>
        <v>0.32</v>
      </c>
      <c r="E45">
        <f>K31*(1-N31)</f>
        <v>678195.66029999999</v>
      </c>
      <c r="F45">
        <f>B45*C45*D45*E45</f>
        <v>122981511828.04239</v>
      </c>
      <c r="I45" t="s">
        <v>27</v>
      </c>
      <c r="L45">
        <f>Q33/F47</f>
        <v>7.7490256983035327E-2</v>
      </c>
    </row>
    <row r="47" spans="1:17" x14ac:dyDescent="0.35">
      <c r="E47" t="s">
        <v>21</v>
      </c>
      <c r="F47">
        <f>F45/1000000</f>
        <v>122981.51182804239</v>
      </c>
      <c r="I47" t="s">
        <v>24</v>
      </c>
      <c r="L47" s="2">
        <f>((B31-4804)*D45*L45)/B41</f>
        <v>2.3893528358223323E-2</v>
      </c>
    </row>
  </sheetData>
  <sheetProtection algorithmName="SHA-512" hashValue="mvaS6diGL5xI42wqBLVYKiwQZYnSzh1a3FA1mdzOc9D/RG97L9Cx19qBBTjZVIALBB2rD6uXSNSd9A+FlHta4g==" saltValue="ol81tUpiIUI5QfDFZ5SXH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7"/>
  <sheetViews>
    <sheetView topLeftCell="A26" workbookViewId="0">
      <selection activeCell="Q8" sqref="Q8"/>
    </sheetView>
  </sheetViews>
  <sheetFormatPr baseColWidth="10" defaultRowHeight="14.5" x14ac:dyDescent="0.35"/>
  <sheetData>
    <row r="1" spans="1:21" ht="87" x14ac:dyDescent="0.35">
      <c r="A1" t="s">
        <v>8</v>
      </c>
      <c r="B1" t="s">
        <v>7</v>
      </c>
      <c r="D1" s="7" t="s">
        <v>9</v>
      </c>
      <c r="E1" s="1" t="s">
        <v>10</v>
      </c>
      <c r="F1" s="1" t="s">
        <v>11</v>
      </c>
      <c r="G1" s="1" t="s">
        <v>12</v>
      </c>
      <c r="H1" s="5" t="s">
        <v>13</v>
      </c>
      <c r="I1" s="4" t="s">
        <v>14</v>
      </c>
      <c r="J1" t="s">
        <v>15</v>
      </c>
      <c r="K1" s="4" t="s">
        <v>17</v>
      </c>
      <c r="L1" s="4" t="s">
        <v>16</v>
      </c>
      <c r="M1" s="4" t="s">
        <v>18</v>
      </c>
      <c r="N1" s="7" t="s">
        <v>29</v>
      </c>
      <c r="O1" s="7" t="s">
        <v>19</v>
      </c>
      <c r="P1" s="7" t="s">
        <v>49</v>
      </c>
      <c r="Q1" s="4" t="s">
        <v>20</v>
      </c>
      <c r="R1" s="4" t="s">
        <v>55</v>
      </c>
      <c r="S1" s="4" t="s">
        <v>56</v>
      </c>
      <c r="T1" s="4" t="s">
        <v>57</v>
      </c>
      <c r="U1" s="4" t="s">
        <v>58</v>
      </c>
    </row>
    <row r="2" spans="1:21" x14ac:dyDescent="0.35">
      <c r="A2" t="s">
        <v>1</v>
      </c>
      <c r="B2">
        <v>2280.2800000000002</v>
      </c>
      <c r="D2" s="6">
        <f>Mixte!D17</f>
        <v>80</v>
      </c>
      <c r="E2">
        <v>18.600000000000001</v>
      </c>
      <c r="F2">
        <f>E2+45</f>
        <v>63.6</v>
      </c>
      <c r="G2">
        <f>D2-F2</f>
        <v>16.399999999999999</v>
      </c>
      <c r="H2" s="6">
        <f>Mixte!D11</f>
        <v>4</v>
      </c>
      <c r="I2" s="2">
        <v>1.0106999999999999</v>
      </c>
      <c r="J2">
        <f>12*B2*H2*I2</f>
        <v>110624.591808</v>
      </c>
      <c r="K2">
        <v>715434</v>
      </c>
      <c r="L2">
        <v>62.917981210855949</v>
      </c>
      <c r="M2">
        <v>63</v>
      </c>
      <c r="N2" s="82">
        <f>Mixte!D23</f>
        <v>0.22</v>
      </c>
      <c r="O2" s="12">
        <f>Mixte!D5</f>
        <v>0.4</v>
      </c>
      <c r="P2" s="12">
        <f>Mixte!D29</f>
        <v>0.5</v>
      </c>
      <c r="Q2">
        <f>J2*K2*O2*(1-P2)*(1-N2)</f>
        <v>12346556697.62809</v>
      </c>
      <c r="R2">
        <f>F2-(O2*H2)</f>
        <v>62</v>
      </c>
      <c r="S2" s="8">
        <f>G2*(M2/100)*B2*12</f>
        <v>282718.23551999999</v>
      </c>
      <c r="T2">
        <f>H2*B2*12*(M2/100)</f>
        <v>68955.667199999996</v>
      </c>
      <c r="U2" s="2">
        <f>T2/S2</f>
        <v>0.24390243902439024</v>
      </c>
    </row>
    <row r="3" spans="1:21" x14ac:dyDescent="0.35">
      <c r="A3" t="s">
        <v>2</v>
      </c>
      <c r="B3">
        <v>2938.6299999999997</v>
      </c>
      <c r="D3" s="6">
        <f>Mixte!D18</f>
        <v>82</v>
      </c>
      <c r="E3">
        <v>18.899999999999999</v>
      </c>
      <c r="F3">
        <f>E3+45</f>
        <v>63.9</v>
      </c>
      <c r="G3">
        <f>D3-F3</f>
        <v>18.100000000000001</v>
      </c>
      <c r="H3" s="6">
        <f>Mixte!D12</f>
        <v>3</v>
      </c>
      <c r="I3" s="2">
        <v>0.93069999999999997</v>
      </c>
      <c r="J3">
        <f>12*B3*H3*I3</f>
        <v>98459.385875999986</v>
      </c>
      <c r="K3">
        <v>715434</v>
      </c>
      <c r="L3">
        <v>54.637065240083516</v>
      </c>
      <c r="M3">
        <v>55</v>
      </c>
      <c r="N3" s="82">
        <f>Mixte!D24</f>
        <v>0.17</v>
      </c>
      <c r="O3" s="12">
        <f>Mixte!D6</f>
        <v>0.2</v>
      </c>
      <c r="P3" s="12">
        <f>Mixte!D30</f>
        <v>0.25</v>
      </c>
      <c r="Q3">
        <f>J3*K3*O3*(1-P3)*(1-N3)</f>
        <v>8769928438.2138672</v>
      </c>
      <c r="R3">
        <f t="shared" ref="R3:R6" si="0">F3-(O3*H3)</f>
        <v>63.3</v>
      </c>
      <c r="S3" s="8">
        <f t="shared" ref="S3:S6" si="1">G3*(M3/100)*B3*12</f>
        <v>351048.73980000004</v>
      </c>
      <c r="T3">
        <f t="shared" ref="T3:T6" si="2">H3*B3*12*(M3/100)</f>
        <v>58184.874000000003</v>
      </c>
      <c r="U3" s="2">
        <f t="shared" ref="U3:U6" si="3">T3/S3</f>
        <v>0.16574585635359115</v>
      </c>
    </row>
    <row r="4" spans="1:21" x14ac:dyDescent="0.35">
      <c r="A4" t="s">
        <v>3</v>
      </c>
      <c r="B4">
        <v>3547.3</v>
      </c>
      <c r="D4" s="6">
        <f>Mixte!D19</f>
        <v>85</v>
      </c>
      <c r="E4">
        <v>19.670000000000002</v>
      </c>
      <c r="F4">
        <f>E4+45</f>
        <v>64.67</v>
      </c>
      <c r="G4">
        <f>D4-F4</f>
        <v>20.329999999999998</v>
      </c>
      <c r="H4" s="6">
        <f>Mixte!D13</f>
        <v>2</v>
      </c>
      <c r="I4" s="2">
        <v>0.8506999999999999</v>
      </c>
      <c r="J4">
        <f>12*B4*H4*I4</f>
        <v>72424.514640000009</v>
      </c>
      <c r="K4">
        <v>715434</v>
      </c>
      <c r="L4">
        <v>46.981038622129432</v>
      </c>
      <c r="M4">
        <v>47</v>
      </c>
      <c r="N4" s="82">
        <f>Mixte!D25</f>
        <v>0.12</v>
      </c>
      <c r="O4" s="12">
        <f>Mixte!D7</f>
        <v>0.15</v>
      </c>
      <c r="P4" s="12">
        <f>Mixte!D31</f>
        <v>0.125</v>
      </c>
      <c r="Q4">
        <f>J4*K4*O4*(1-P4)*(1-N4)</f>
        <v>5984627903.9031601</v>
      </c>
      <c r="R4">
        <f t="shared" si="0"/>
        <v>64.37</v>
      </c>
      <c r="S4" s="8">
        <f t="shared" si="1"/>
        <v>406737.67476000002</v>
      </c>
      <c r="T4">
        <f t="shared" si="2"/>
        <v>40013.544000000002</v>
      </c>
      <c r="U4" s="2">
        <f t="shared" si="3"/>
        <v>9.8376783079193314E-2</v>
      </c>
    </row>
    <row r="5" spans="1:21" x14ac:dyDescent="0.35">
      <c r="A5" t="s">
        <v>4</v>
      </c>
      <c r="B5">
        <v>4257.8700000000008</v>
      </c>
      <c r="D5" s="6">
        <f>Mixte!D20</f>
        <v>88</v>
      </c>
      <c r="E5">
        <v>20.59</v>
      </c>
      <c r="F5">
        <f>E5+45</f>
        <v>65.59</v>
      </c>
      <c r="G5">
        <f>D5-F5</f>
        <v>22.409999999999997</v>
      </c>
      <c r="H5" s="6">
        <f>Mixte!D14</f>
        <v>0</v>
      </c>
      <c r="I5" s="2">
        <v>0.80069999999999997</v>
      </c>
      <c r="J5">
        <f>12*B5*H5*I5</f>
        <v>0</v>
      </c>
      <c r="K5">
        <v>715434</v>
      </c>
      <c r="L5">
        <v>41.82188048016701</v>
      </c>
      <c r="M5">
        <v>42</v>
      </c>
      <c r="N5" s="82">
        <f>Mixte!D26</f>
        <v>0.06</v>
      </c>
      <c r="O5" s="12">
        <f>Mixte!D8</f>
        <v>0</v>
      </c>
      <c r="P5" s="12">
        <f>Mixte!D32</f>
        <v>0</v>
      </c>
      <c r="Q5">
        <f>J5*K5*O5*(1-P5)*(1-N5)</f>
        <v>0</v>
      </c>
      <c r="R5">
        <f t="shared" si="0"/>
        <v>65.59</v>
      </c>
      <c r="S5" s="8">
        <f t="shared" si="1"/>
        <v>480911.08816800005</v>
      </c>
      <c r="T5">
        <f t="shared" si="2"/>
        <v>0</v>
      </c>
      <c r="U5" s="2">
        <f t="shared" si="3"/>
        <v>0</v>
      </c>
    </row>
    <row r="6" spans="1:21" x14ac:dyDescent="0.35">
      <c r="A6" t="s">
        <v>5</v>
      </c>
      <c r="B6">
        <v>6945.6327671119589</v>
      </c>
      <c r="D6" s="6">
        <f>Mixte!D21</f>
        <v>92</v>
      </c>
      <c r="E6">
        <v>22.35</v>
      </c>
      <c r="F6">
        <f>E6+45</f>
        <v>67.349999999999994</v>
      </c>
      <c r="G6">
        <f>D6-F6</f>
        <v>24.650000000000006</v>
      </c>
      <c r="H6" s="6">
        <f>Mixte!D15</f>
        <v>0</v>
      </c>
      <c r="I6" s="2">
        <v>0.70069999999999988</v>
      </c>
      <c r="J6">
        <f>12*B6*H6*I6</f>
        <v>0</v>
      </c>
      <c r="K6">
        <v>715434</v>
      </c>
      <c r="L6">
        <v>31.862008013311634</v>
      </c>
      <c r="M6">
        <v>32</v>
      </c>
      <c r="N6" s="82">
        <f>Mixte!D27</f>
        <v>0.03</v>
      </c>
      <c r="O6" s="12">
        <f>Mixte!D9</f>
        <v>0</v>
      </c>
      <c r="P6" s="12">
        <f>Mixte!D33</f>
        <v>0</v>
      </c>
      <c r="Q6">
        <f>J6*K6*O6*(1-P6)*(1-N6)</f>
        <v>0</v>
      </c>
      <c r="R6">
        <f t="shared" si="0"/>
        <v>67.349999999999994</v>
      </c>
      <c r="S6" s="8">
        <f t="shared" si="1"/>
        <v>657445.81520374969</v>
      </c>
      <c r="T6">
        <f t="shared" si="2"/>
        <v>0</v>
      </c>
      <c r="U6" s="2">
        <f t="shared" si="3"/>
        <v>0</v>
      </c>
    </row>
    <row r="8" spans="1:21" x14ac:dyDescent="0.35">
      <c r="A8" t="s">
        <v>46</v>
      </c>
      <c r="P8" t="s">
        <v>21</v>
      </c>
      <c r="Q8">
        <f>SUM(Q2:Q6)/1000000</f>
        <v>27101.113039745116</v>
      </c>
    </row>
    <row r="9" spans="1:21" ht="58" x14ac:dyDescent="0.35">
      <c r="A9" t="s">
        <v>8</v>
      </c>
      <c r="B9" s="1" t="s">
        <v>26</v>
      </c>
      <c r="C9" s="1" t="s">
        <v>12</v>
      </c>
      <c r="D9" s="1" t="s">
        <v>16</v>
      </c>
      <c r="E9" s="1" t="s">
        <v>25</v>
      </c>
      <c r="F9" s="1" t="s">
        <v>30</v>
      </c>
    </row>
    <row r="10" spans="1:21" x14ac:dyDescent="0.35">
      <c r="A10" t="s">
        <v>4</v>
      </c>
      <c r="B10" s="9">
        <f>(B5-3854)*12</f>
        <v>4846.4400000000096</v>
      </c>
      <c r="C10" s="1">
        <f>G5</f>
        <v>22.409999999999997</v>
      </c>
      <c r="D10" s="10">
        <v>0.42</v>
      </c>
      <c r="E10" s="11">
        <f>K5*(1-N5)</f>
        <v>672507.96</v>
      </c>
      <c r="F10">
        <f>(E10*D10*C10*B10)</f>
        <v>30676896177.654099</v>
      </c>
      <c r="I10" t="s">
        <v>27</v>
      </c>
      <c r="L10" s="2">
        <f>Q8/F13</f>
        <v>0.11593480346877402</v>
      </c>
    </row>
    <row r="11" spans="1:21" x14ac:dyDescent="0.35">
      <c r="A11" t="s">
        <v>5</v>
      </c>
      <c r="B11" s="9">
        <f>(B6-3854)*12</f>
        <v>37099.59320534351</v>
      </c>
      <c r="C11">
        <f>G6</f>
        <v>24.650000000000006</v>
      </c>
      <c r="D11" s="3">
        <v>0.32</v>
      </c>
      <c r="E11" s="11">
        <f>K6*(1-N6)</f>
        <v>693970.98</v>
      </c>
      <c r="F11">
        <f>(E11*D11*C11*B11)</f>
        <v>203084771836.42551</v>
      </c>
    </row>
    <row r="13" spans="1:21" x14ac:dyDescent="0.35">
      <c r="E13" t="s">
        <v>21</v>
      </c>
      <c r="F13" s="8">
        <f>(F10+F11)/1000000</f>
        <v>233761.66801407959</v>
      </c>
    </row>
    <row r="14" spans="1:21" x14ac:dyDescent="0.35">
      <c r="A14" t="s">
        <v>8</v>
      </c>
      <c r="B14" t="s">
        <v>28</v>
      </c>
      <c r="I14" t="s">
        <v>23</v>
      </c>
      <c r="L14" s="2">
        <f>((B5-3854)*D10*L10)/B15</f>
        <v>1.0996716451402662E-2</v>
      </c>
    </row>
    <row r="15" spans="1:21" x14ac:dyDescent="0.35">
      <c r="A15" t="s">
        <v>4</v>
      </c>
      <c r="B15">
        <f>D10*B5</f>
        <v>1788.3054000000002</v>
      </c>
      <c r="I15" t="s">
        <v>24</v>
      </c>
      <c r="L15" s="2">
        <f>((B6-3854)*D11*L10)/B16</f>
        <v>5.1604778034037013E-2</v>
      </c>
    </row>
    <row r="16" spans="1:21" x14ac:dyDescent="0.35">
      <c r="A16" t="s">
        <v>5</v>
      </c>
      <c r="B16">
        <f>D11*B6</f>
        <v>2222.6024854758271</v>
      </c>
    </row>
    <row r="18" spans="1:21" x14ac:dyDescent="0.35">
      <c r="A18" t="s">
        <v>47</v>
      </c>
    </row>
    <row r="20" spans="1:21" x14ac:dyDescent="0.35">
      <c r="A20" t="s">
        <v>5</v>
      </c>
      <c r="B20">
        <f>(B6-4804)*12</f>
        <v>25699.593205343506</v>
      </c>
      <c r="C20">
        <f>G6</f>
        <v>24.650000000000006</v>
      </c>
      <c r="D20" s="15">
        <f>D11</f>
        <v>0.32</v>
      </c>
      <c r="E20">
        <f>K6*(1-N6)</f>
        <v>693970.98</v>
      </c>
      <c r="F20">
        <f>B20*C20*D20*E20</f>
        <v>140680680607.68951</v>
      </c>
      <c r="I20" t="s">
        <v>27</v>
      </c>
      <c r="L20">
        <f>Q8/F22</f>
        <v>0.19264274897361983</v>
      </c>
    </row>
    <row r="22" spans="1:21" x14ac:dyDescent="0.35">
      <c r="E22" t="s">
        <v>21</v>
      </c>
      <c r="F22">
        <f>F20/1000000</f>
        <v>140680.68060768952</v>
      </c>
      <c r="I22" t="s">
        <v>24</v>
      </c>
      <c r="L22" s="2">
        <f>((B6-4804)*D20*L20)/B16</f>
        <v>5.9399918968070828E-2</v>
      </c>
    </row>
    <row r="26" spans="1:21" ht="87" x14ac:dyDescent="0.35">
      <c r="A26" t="s">
        <v>8</v>
      </c>
      <c r="B26" t="s">
        <v>7</v>
      </c>
      <c r="D26" s="7" t="s">
        <v>9</v>
      </c>
      <c r="E26" s="1" t="s">
        <v>10</v>
      </c>
      <c r="F26" s="1" t="s">
        <v>11</v>
      </c>
      <c r="G26" s="1" t="s">
        <v>12</v>
      </c>
      <c r="H26" s="5" t="s">
        <v>13</v>
      </c>
      <c r="I26" s="4" t="s">
        <v>14</v>
      </c>
      <c r="J26" t="s">
        <v>15</v>
      </c>
      <c r="K26" s="4" t="s">
        <v>17</v>
      </c>
      <c r="L26" s="4" t="s">
        <v>16</v>
      </c>
      <c r="M26" s="4" t="s">
        <v>18</v>
      </c>
      <c r="N26" s="7" t="s">
        <v>29</v>
      </c>
      <c r="O26" s="7" t="s">
        <v>19</v>
      </c>
      <c r="P26" s="7" t="s">
        <v>49</v>
      </c>
      <c r="Q26" s="4" t="s">
        <v>20</v>
      </c>
      <c r="R26" s="4" t="s">
        <v>55</v>
      </c>
      <c r="S26" s="4" t="s">
        <v>56</v>
      </c>
      <c r="T26" s="4" t="s">
        <v>57</v>
      </c>
      <c r="U26" s="4" t="s">
        <v>58</v>
      </c>
    </row>
    <row r="27" spans="1:21" x14ac:dyDescent="0.35">
      <c r="A27" t="s">
        <v>1</v>
      </c>
      <c r="B27">
        <v>2280.2800000000002</v>
      </c>
      <c r="D27" s="6">
        <f>Mixte!E17</f>
        <v>79</v>
      </c>
      <c r="E27">
        <v>18.600000000000001</v>
      </c>
      <c r="F27">
        <f>E27+45</f>
        <v>63.6</v>
      </c>
      <c r="G27">
        <f>D27-F27</f>
        <v>15.399999999999999</v>
      </c>
      <c r="H27" s="6">
        <f>Mixte!E11</f>
        <v>5</v>
      </c>
      <c r="I27" s="2">
        <v>1.0106999999999999</v>
      </c>
      <c r="J27">
        <f>12*B27*H27*I27</f>
        <v>138280.73975999997</v>
      </c>
      <c r="K27">
        <v>715434</v>
      </c>
      <c r="L27">
        <v>62.917981210855949</v>
      </c>
      <c r="M27">
        <v>63</v>
      </c>
      <c r="N27" s="82">
        <f>Mixte!E23</f>
        <v>0</v>
      </c>
      <c r="O27" s="12">
        <f>Mixte!E5</f>
        <v>0.5</v>
      </c>
      <c r="P27" s="12">
        <f>Mixte!E29</f>
        <v>0.7</v>
      </c>
      <c r="Q27">
        <f>J27*K27*O27*(1-P27)*(1-N27)</f>
        <v>14839611415.418373</v>
      </c>
      <c r="R27">
        <f>F27-(O27*H27)</f>
        <v>61.1</v>
      </c>
      <c r="S27" s="8">
        <f>G27*(M27/100)*B27*12</f>
        <v>265479.31872000004</v>
      </c>
      <c r="T27">
        <f>H27*B27*12*(M27/100)</f>
        <v>86194.584000000017</v>
      </c>
      <c r="U27" s="2">
        <f>T27/S27</f>
        <v>0.32467532467532467</v>
      </c>
    </row>
    <row r="28" spans="1:21" x14ac:dyDescent="0.35">
      <c r="A28" t="s">
        <v>2</v>
      </c>
      <c r="B28">
        <v>2938.6299999999997</v>
      </c>
      <c r="D28" s="6">
        <f>Mixte!E18</f>
        <v>81</v>
      </c>
      <c r="E28">
        <v>18.899999999999999</v>
      </c>
      <c r="F28">
        <f>E28+45</f>
        <v>63.9</v>
      </c>
      <c r="G28">
        <f>D28-F28</f>
        <v>17.100000000000001</v>
      </c>
      <c r="H28" s="6">
        <f>Mixte!E12</f>
        <v>4</v>
      </c>
      <c r="I28" s="2">
        <v>0.93069999999999997</v>
      </c>
      <c r="J28">
        <f>12*B28*H28*I28</f>
        <v>131279.18116799998</v>
      </c>
      <c r="K28">
        <v>715434</v>
      </c>
      <c r="L28">
        <v>54.637065240083516</v>
      </c>
      <c r="M28">
        <v>55</v>
      </c>
      <c r="N28" s="82">
        <f>Mixte!E24</f>
        <v>0</v>
      </c>
      <c r="O28" s="12">
        <f>Mixte!E6</f>
        <v>0.25</v>
      </c>
      <c r="P28" s="12">
        <f>Mixte!E30</f>
        <v>0.35</v>
      </c>
      <c r="Q28">
        <f>J28*K28*O28*(1-P28)*(1-N28)</f>
        <v>15262258326.208872</v>
      </c>
      <c r="R28">
        <f t="shared" ref="R28:R31" si="4">F28-(O28*H28)</f>
        <v>62.9</v>
      </c>
      <c r="S28" s="8">
        <f t="shared" ref="S28:S31" si="5">G28*(M28/100)*B28*12</f>
        <v>331653.7818</v>
      </c>
      <c r="T28">
        <f t="shared" ref="T28:T31" si="6">H28*B28*12*(M28/100)</f>
        <v>77579.831999999995</v>
      </c>
      <c r="U28" s="2">
        <f t="shared" ref="U28:U31" si="7">T28/S28</f>
        <v>0.23391812865497075</v>
      </c>
    </row>
    <row r="29" spans="1:21" x14ac:dyDescent="0.35">
      <c r="A29" t="s">
        <v>3</v>
      </c>
      <c r="B29">
        <v>3547.3</v>
      </c>
      <c r="D29" s="6">
        <f>Mixte!E19</f>
        <v>85</v>
      </c>
      <c r="E29">
        <v>19.670000000000002</v>
      </c>
      <c r="F29">
        <f>E29+45</f>
        <v>64.67</v>
      </c>
      <c r="G29">
        <f>D29-F29</f>
        <v>20.329999999999998</v>
      </c>
      <c r="H29" s="6">
        <f>Mixte!E13</f>
        <v>3</v>
      </c>
      <c r="I29" s="2">
        <v>0.8506999999999999</v>
      </c>
      <c r="J29">
        <f>12*B29*H29*I29</f>
        <v>108636.77196</v>
      </c>
      <c r="K29">
        <v>715434</v>
      </c>
      <c r="L29">
        <v>46.981038622129432</v>
      </c>
      <c r="M29">
        <v>47</v>
      </c>
      <c r="N29" s="82">
        <f>Mixte!E25</f>
        <v>0.15</v>
      </c>
      <c r="O29" s="12">
        <f>Mixte!E7</f>
        <v>0.22500000000000001</v>
      </c>
      <c r="P29" s="12">
        <f>Mixte!E31</f>
        <v>0.17499999999999999</v>
      </c>
      <c r="Q29">
        <f>J29*K29*O29*(1-P29)*(1-N29)</f>
        <v>12263143785.230133</v>
      </c>
      <c r="R29">
        <f t="shared" si="4"/>
        <v>63.995000000000005</v>
      </c>
      <c r="S29" s="8">
        <f t="shared" si="5"/>
        <v>406737.67476000002</v>
      </c>
      <c r="T29">
        <f t="shared" si="6"/>
        <v>60020.316000000006</v>
      </c>
      <c r="U29" s="2">
        <f t="shared" si="7"/>
        <v>0.14756517461878998</v>
      </c>
    </row>
    <row r="30" spans="1:21" x14ac:dyDescent="0.35">
      <c r="A30" t="s">
        <v>4</v>
      </c>
      <c r="B30">
        <v>4257.8700000000008</v>
      </c>
      <c r="D30" s="6">
        <f>Mixte!E20</f>
        <v>89</v>
      </c>
      <c r="E30">
        <v>20.59</v>
      </c>
      <c r="F30">
        <f>E30+45</f>
        <v>65.59</v>
      </c>
      <c r="G30">
        <f>D30-F30</f>
        <v>23.409999999999997</v>
      </c>
      <c r="H30" s="6">
        <f>Mixte!E14</f>
        <v>0</v>
      </c>
      <c r="I30" s="2">
        <v>0.80069999999999997</v>
      </c>
      <c r="J30">
        <f>12*B30*H30*I30</f>
        <v>0</v>
      </c>
      <c r="K30">
        <v>715434</v>
      </c>
      <c r="L30">
        <v>41.82188048016701</v>
      </c>
      <c r="M30">
        <v>42</v>
      </c>
      <c r="N30" s="82">
        <f>Mixte!E26</f>
        <v>0</v>
      </c>
      <c r="O30" s="12">
        <f>Mixte!E8</f>
        <v>0</v>
      </c>
      <c r="P30" s="12">
        <f>Mixte!E32</f>
        <v>0</v>
      </c>
      <c r="Q30">
        <f>J30*K30*O30*(1-P30)*(1-N30)</f>
        <v>0</v>
      </c>
      <c r="R30">
        <f t="shared" si="4"/>
        <v>65.59</v>
      </c>
      <c r="S30" s="8">
        <f t="shared" si="5"/>
        <v>502370.75296800002</v>
      </c>
      <c r="T30">
        <f t="shared" si="6"/>
        <v>0</v>
      </c>
      <c r="U30" s="2">
        <f t="shared" si="7"/>
        <v>0</v>
      </c>
    </row>
    <row r="31" spans="1:21" x14ac:dyDescent="0.35">
      <c r="A31" t="s">
        <v>5</v>
      </c>
      <c r="B31">
        <v>6945.6327671119589</v>
      </c>
      <c r="D31" s="6">
        <f>Mixte!E21</f>
        <v>92</v>
      </c>
      <c r="E31">
        <v>22.35</v>
      </c>
      <c r="F31">
        <f>E31+45</f>
        <v>67.349999999999994</v>
      </c>
      <c r="G31">
        <f>D31-F31</f>
        <v>24.650000000000006</v>
      </c>
      <c r="H31" s="6">
        <f>Mixte!E15</f>
        <v>0</v>
      </c>
      <c r="I31" s="2">
        <v>0.70069999999999988</v>
      </c>
      <c r="J31">
        <f>12*B31*H31*I31</f>
        <v>0</v>
      </c>
      <c r="K31">
        <v>715434</v>
      </c>
      <c r="L31">
        <v>31.862008013311634</v>
      </c>
      <c r="M31">
        <v>32</v>
      </c>
      <c r="N31" s="82">
        <f>Mixte!E27</f>
        <v>0</v>
      </c>
      <c r="O31" s="12">
        <f>Mixte!E9</f>
        <v>0</v>
      </c>
      <c r="P31" s="12">
        <f>Mixte!E33</f>
        <v>0</v>
      </c>
      <c r="Q31">
        <f>J31*K31*O31*(1-P31)*(1-N31)</f>
        <v>0</v>
      </c>
      <c r="R31">
        <f t="shared" si="4"/>
        <v>67.349999999999994</v>
      </c>
      <c r="S31" s="8">
        <f t="shared" si="5"/>
        <v>657445.81520374969</v>
      </c>
      <c r="T31">
        <f t="shared" si="6"/>
        <v>0</v>
      </c>
      <c r="U31" s="2">
        <f t="shared" si="7"/>
        <v>0</v>
      </c>
    </row>
    <row r="33" spans="1:17" x14ac:dyDescent="0.35">
      <c r="A33" t="s">
        <v>46</v>
      </c>
      <c r="P33" t="s">
        <v>21</v>
      </c>
      <c r="Q33">
        <f>SUM(Q27:Q31)/1000000</f>
        <v>42365.013526857379</v>
      </c>
    </row>
    <row r="34" spans="1:17" ht="58" x14ac:dyDescent="0.35">
      <c r="A34" t="s">
        <v>8</v>
      </c>
      <c r="B34" s="1" t="s">
        <v>26</v>
      </c>
      <c r="C34" s="1" t="s">
        <v>12</v>
      </c>
      <c r="D34" s="1" t="s">
        <v>16</v>
      </c>
      <c r="E34" s="1" t="s">
        <v>25</v>
      </c>
      <c r="F34" s="1" t="s">
        <v>30</v>
      </c>
    </row>
    <row r="35" spans="1:17" x14ac:dyDescent="0.35">
      <c r="A35" t="s">
        <v>4</v>
      </c>
      <c r="B35" s="9">
        <f>(B30-3854)*12</f>
        <v>4846.4400000000096</v>
      </c>
      <c r="C35" s="1">
        <f>G30</f>
        <v>23.409999999999997</v>
      </c>
      <c r="D35" s="10">
        <v>0.42</v>
      </c>
      <c r="E35" s="11">
        <f>K30*(1-N30)</f>
        <v>715434</v>
      </c>
      <c r="F35">
        <f>(E35*D35*C35*B35)</f>
        <v>34091265274.757771</v>
      </c>
      <c r="I35" t="s">
        <v>27</v>
      </c>
      <c r="L35" s="2">
        <f>Q33/F38</f>
        <v>0.1740143511373847</v>
      </c>
    </row>
    <row r="36" spans="1:17" x14ac:dyDescent="0.35">
      <c r="A36" t="s">
        <v>5</v>
      </c>
      <c r="B36" s="9">
        <f>(B31-3854)*12</f>
        <v>37099.59320534351</v>
      </c>
      <c r="C36">
        <f>G31</f>
        <v>24.650000000000006</v>
      </c>
      <c r="D36" s="3">
        <v>0.32</v>
      </c>
      <c r="E36" s="11">
        <f>K31*(1-N31)</f>
        <v>715434</v>
      </c>
      <c r="F36">
        <f>(E36*D36*C36*B36)</f>
        <v>209365744161.26346</v>
      </c>
    </row>
    <row r="38" spans="1:17" x14ac:dyDescent="0.35">
      <c r="E38" t="s">
        <v>21</v>
      </c>
      <c r="F38" s="8">
        <f>(F35+F36)/1000000</f>
        <v>243457.00943602124</v>
      </c>
    </row>
    <row r="39" spans="1:17" x14ac:dyDescent="0.35">
      <c r="A39" t="s">
        <v>8</v>
      </c>
      <c r="B39" t="s">
        <v>28</v>
      </c>
      <c r="I39" t="s">
        <v>23</v>
      </c>
      <c r="L39" s="2">
        <f>((B30-3854)*D35*L35)/B40</f>
        <v>1.6505712009491996E-2</v>
      </c>
    </row>
    <row r="40" spans="1:17" x14ac:dyDescent="0.35">
      <c r="A40" t="s">
        <v>4</v>
      </c>
      <c r="B40">
        <f>D35*B30</f>
        <v>1788.3054000000002</v>
      </c>
      <c r="I40" t="s">
        <v>24</v>
      </c>
      <c r="L40" s="2">
        <f>((B31-3854)*D36*L35)/B41</f>
        <v>7.7457085331588002E-2</v>
      </c>
    </row>
    <row r="41" spans="1:17" x14ac:dyDescent="0.35">
      <c r="A41" t="s">
        <v>5</v>
      </c>
      <c r="B41">
        <f>D36*B31</f>
        <v>2222.6024854758271</v>
      </c>
    </row>
    <row r="43" spans="1:17" x14ac:dyDescent="0.35">
      <c r="A43" t="s">
        <v>47</v>
      </c>
    </row>
    <row r="45" spans="1:17" x14ac:dyDescent="0.35">
      <c r="A45" t="s">
        <v>5</v>
      </c>
      <c r="B45">
        <f>(B31-4804)*12</f>
        <v>25699.593205343506</v>
      </c>
      <c r="C45">
        <f>G31</f>
        <v>24.650000000000006</v>
      </c>
      <c r="D45" s="15">
        <f>D36</f>
        <v>0.32</v>
      </c>
      <c r="E45">
        <f>K31*(1-N31)</f>
        <v>715434</v>
      </c>
      <c r="F45">
        <f>B45*C45*D45*E45</f>
        <v>145031629492.46341</v>
      </c>
      <c r="I45" t="s">
        <v>27</v>
      </c>
      <c r="L45">
        <f>Q33/F47</f>
        <v>0.29210878809755692</v>
      </c>
    </row>
    <row r="47" spans="1:17" x14ac:dyDescent="0.35">
      <c r="E47" t="s">
        <v>21</v>
      </c>
      <c r="F47">
        <f>F45/1000000</f>
        <v>145031.6294924634</v>
      </c>
      <c r="I47" t="s">
        <v>24</v>
      </c>
      <c r="L47" s="2">
        <f>((B31-4804)*D45*L45)/B41</f>
        <v>9.0069511753241752E-2</v>
      </c>
    </row>
  </sheetData>
  <sheetProtection algorithmName="SHA-512" hashValue="JE1VcObeMSliZwRpPcne4V2Fr0g4zl879D8L+j9O8lsI8AUD7Fl/Muut7YBtQod4jhIs7JfYDRWLoR2Aq5SZGQ==" saltValue="2XrA+BnCrcq4aWq25s/TX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9:W55"/>
  <sheetViews>
    <sheetView topLeftCell="F29" workbookViewId="0">
      <selection activeCell="O42" sqref="O42"/>
    </sheetView>
  </sheetViews>
  <sheetFormatPr baseColWidth="10" defaultRowHeight="14.5" x14ac:dyDescent="0.35"/>
  <sheetData>
    <row r="9" spans="3:23" ht="87" x14ac:dyDescent="0.35">
      <c r="C9" t="s">
        <v>8</v>
      </c>
      <c r="D9" t="s">
        <v>7</v>
      </c>
      <c r="F9" s="4" t="s">
        <v>9</v>
      </c>
      <c r="G9" s="1" t="s">
        <v>10</v>
      </c>
      <c r="H9" s="1" t="s">
        <v>11</v>
      </c>
      <c r="I9" s="1" t="s">
        <v>12</v>
      </c>
      <c r="J9" s="5" t="s">
        <v>13</v>
      </c>
      <c r="K9" s="4" t="s">
        <v>14</v>
      </c>
      <c r="L9" t="s">
        <v>15</v>
      </c>
      <c r="M9" s="4" t="s">
        <v>17</v>
      </c>
      <c r="N9" s="4" t="s">
        <v>16</v>
      </c>
      <c r="O9" s="4" t="s">
        <v>18</v>
      </c>
      <c r="P9" s="4" t="s">
        <v>29</v>
      </c>
      <c r="Q9" s="7" t="s">
        <v>19</v>
      </c>
      <c r="R9" s="7" t="s">
        <v>49</v>
      </c>
      <c r="S9" s="4" t="s">
        <v>20</v>
      </c>
      <c r="T9" s="4" t="s">
        <v>55</v>
      </c>
      <c r="U9" s="4" t="s">
        <v>56</v>
      </c>
      <c r="V9" s="4" t="s">
        <v>57</v>
      </c>
      <c r="W9" s="4" t="s">
        <v>58</v>
      </c>
    </row>
    <row r="10" spans="3:23" x14ac:dyDescent="0.35">
      <c r="C10" t="s">
        <v>1</v>
      </c>
      <c r="D10">
        <v>2280.2800000000002</v>
      </c>
      <c r="F10">
        <v>81.400000000000006</v>
      </c>
      <c r="G10">
        <v>18.600000000000001</v>
      </c>
      <c r="H10">
        <f>G10+45</f>
        <v>63.6</v>
      </c>
      <c r="I10">
        <f>F10-H10</f>
        <v>17.800000000000004</v>
      </c>
      <c r="J10" s="6">
        <f>Pénibilité!D11</f>
        <v>4</v>
      </c>
      <c r="K10" s="2">
        <v>1.0106999999999999</v>
      </c>
      <c r="L10">
        <f>12*D10*J10*K10</f>
        <v>110624.591808</v>
      </c>
      <c r="M10">
        <v>715434</v>
      </c>
      <c r="N10">
        <v>62.917981210855949</v>
      </c>
      <c r="O10">
        <v>63</v>
      </c>
      <c r="P10" s="14">
        <v>0.2082</v>
      </c>
      <c r="Q10" s="12">
        <f>Pénibilité!D5</f>
        <v>0.4</v>
      </c>
      <c r="R10" s="12">
        <v>0</v>
      </c>
      <c r="S10">
        <f>L10*M10*Q10*(1-R10)*(1-P10)</f>
        <v>25066675879.953644</v>
      </c>
      <c r="T10">
        <f>H10-(Q10*J10)</f>
        <v>62</v>
      </c>
      <c r="U10" s="8">
        <f>I10*(O10/100)*D10*12</f>
        <v>306852.71904000011</v>
      </c>
      <c r="V10">
        <f>J10*D10*12*(O10/100)</f>
        <v>68955.667199999996</v>
      </c>
      <c r="W10" s="2">
        <f>V10/U10</f>
        <v>0.22471910112359542</v>
      </c>
    </row>
    <row r="11" spans="3:23" x14ac:dyDescent="0.35">
      <c r="C11" t="s">
        <v>2</v>
      </c>
      <c r="D11">
        <v>2938.6299999999997</v>
      </c>
      <c r="F11">
        <v>83.4</v>
      </c>
      <c r="G11">
        <v>18.899999999999999</v>
      </c>
      <c r="H11">
        <f>G11+45</f>
        <v>63.9</v>
      </c>
      <c r="I11">
        <f>F11-H11</f>
        <v>19.500000000000007</v>
      </c>
      <c r="J11" s="6">
        <f>Pénibilité!D12</f>
        <v>3</v>
      </c>
      <c r="K11" s="2">
        <v>0.93069999999999997</v>
      </c>
      <c r="L11">
        <f>12*D11*J11*K11</f>
        <v>98459.385875999986</v>
      </c>
      <c r="M11">
        <v>715434</v>
      </c>
      <c r="N11">
        <v>54.637065240083516</v>
      </c>
      <c r="O11">
        <v>55</v>
      </c>
      <c r="P11" s="14">
        <v>0.15615000000000001</v>
      </c>
      <c r="Q11" s="12">
        <f>Pénibilité!D6</f>
        <v>0.2</v>
      </c>
      <c r="R11" s="12">
        <v>0</v>
      </c>
      <c r="S11">
        <f>L11*M11*Q11*(1-R11)*(1-P11)</f>
        <v>11888360020.219713</v>
      </c>
      <c r="T11">
        <f t="shared" ref="T11:T14" si="0">H11-(Q11*J11)</f>
        <v>63.3</v>
      </c>
      <c r="U11" s="8">
        <f t="shared" ref="U11:U14" si="1">I11*(O11/100)*D11*12</f>
        <v>378201.6810000001</v>
      </c>
      <c r="V11">
        <f t="shared" ref="V11:V14" si="2">J11*D11*12*(O11/100)</f>
        <v>58184.874000000003</v>
      </c>
      <c r="W11" s="2">
        <f t="shared" ref="W11:W14" si="3">V11/U11</f>
        <v>0.15384615384615383</v>
      </c>
    </row>
    <row r="12" spans="3:23" x14ac:dyDescent="0.35">
      <c r="C12" t="s">
        <v>3</v>
      </c>
      <c r="D12">
        <v>3547.3</v>
      </c>
      <c r="F12">
        <v>85.4</v>
      </c>
      <c r="G12">
        <v>19.670000000000002</v>
      </c>
      <c r="H12">
        <f>G12+45</f>
        <v>64.67</v>
      </c>
      <c r="I12">
        <f>F12-H12</f>
        <v>20.730000000000004</v>
      </c>
      <c r="J12" s="6">
        <f>Pénibilité!D13</f>
        <v>2</v>
      </c>
      <c r="K12" s="2">
        <v>0.8506999999999999</v>
      </c>
      <c r="L12">
        <f>12*D12*J12*K12</f>
        <v>72424.514640000009</v>
      </c>
      <c r="M12">
        <v>715434</v>
      </c>
      <c r="N12">
        <v>46.981038622129432</v>
      </c>
      <c r="O12">
        <v>47</v>
      </c>
      <c r="P12" s="14">
        <v>0.1041</v>
      </c>
      <c r="Q12" s="12">
        <f>Pénibilité!D7</f>
        <v>0.15</v>
      </c>
      <c r="R12" s="12">
        <v>0</v>
      </c>
      <c r="S12">
        <f>L12*M12*Q12*(1-R12)*(1-P12)</f>
        <v>6963153427.4114809</v>
      </c>
      <c r="T12">
        <f t="shared" si="0"/>
        <v>64.37</v>
      </c>
      <c r="U12" s="8">
        <f t="shared" si="1"/>
        <v>414740.3835600001</v>
      </c>
      <c r="V12">
        <f t="shared" si="2"/>
        <v>40013.544000000002</v>
      </c>
      <c r="W12" s="2">
        <f t="shared" si="3"/>
        <v>9.6478533526290378E-2</v>
      </c>
    </row>
    <row r="13" spans="3:23" x14ac:dyDescent="0.35">
      <c r="C13" t="s">
        <v>4</v>
      </c>
      <c r="D13">
        <v>4257.8700000000008</v>
      </c>
      <c r="F13">
        <v>87.4</v>
      </c>
      <c r="G13">
        <v>20.59</v>
      </c>
      <c r="H13">
        <f>G13+45</f>
        <v>65.59</v>
      </c>
      <c r="I13">
        <f>F13-H13</f>
        <v>21.810000000000002</v>
      </c>
      <c r="J13" s="6">
        <f>Pénibilité!D14</f>
        <v>0</v>
      </c>
      <c r="K13" s="2">
        <v>0.80069999999999997</v>
      </c>
      <c r="L13">
        <f>12*D13*J13*K13</f>
        <v>0</v>
      </c>
      <c r="M13">
        <v>715434</v>
      </c>
      <c r="N13">
        <v>41.82188048016701</v>
      </c>
      <c r="O13">
        <v>42</v>
      </c>
      <c r="P13" s="14">
        <v>7.8075000000000006E-2</v>
      </c>
      <c r="Q13" s="12">
        <f>Pénibilité!D8</f>
        <v>0</v>
      </c>
      <c r="R13" s="12">
        <v>0</v>
      </c>
      <c r="S13">
        <f>L13*M13*Q13*(1-R13)*(1-P13)</f>
        <v>0</v>
      </c>
      <c r="T13">
        <f t="shared" si="0"/>
        <v>65.59</v>
      </c>
      <c r="U13" s="8">
        <f t="shared" si="1"/>
        <v>468035.2892880002</v>
      </c>
      <c r="V13">
        <f t="shared" si="2"/>
        <v>0</v>
      </c>
      <c r="W13" s="2">
        <f t="shared" si="3"/>
        <v>0</v>
      </c>
    </row>
    <row r="14" spans="3:23" x14ac:dyDescent="0.35">
      <c r="C14" t="s">
        <v>5</v>
      </c>
      <c r="D14">
        <v>6945.6327671119589</v>
      </c>
      <c r="F14">
        <v>89.4</v>
      </c>
      <c r="G14">
        <v>22.35</v>
      </c>
      <c r="H14">
        <f>G14+45</f>
        <v>67.349999999999994</v>
      </c>
      <c r="I14">
        <f>F14-H14</f>
        <v>22.050000000000011</v>
      </c>
      <c r="J14" s="6">
        <f>Pénibilité!D15</f>
        <v>0</v>
      </c>
      <c r="K14" s="2">
        <v>0.70069999999999988</v>
      </c>
      <c r="L14">
        <f>12*D14*J14*K14</f>
        <v>0</v>
      </c>
      <c r="M14">
        <v>715434</v>
      </c>
      <c r="N14">
        <v>31.862008013311634</v>
      </c>
      <c r="O14">
        <v>32</v>
      </c>
      <c r="P14" s="14">
        <v>5.2049999999999999E-2</v>
      </c>
      <c r="Q14" s="12">
        <f>Pénibilité!D9</f>
        <v>0</v>
      </c>
      <c r="R14" s="12">
        <v>0</v>
      </c>
      <c r="S14">
        <f>L14*M14*Q14*(1-R14)*(1-P14)</f>
        <v>0</v>
      </c>
      <c r="T14">
        <f t="shared" si="0"/>
        <v>67.349999999999994</v>
      </c>
      <c r="U14" s="8">
        <f t="shared" si="1"/>
        <v>588100.61765690404</v>
      </c>
      <c r="V14">
        <f t="shared" si="2"/>
        <v>0</v>
      </c>
      <c r="W14" s="2">
        <f t="shared" si="3"/>
        <v>0</v>
      </c>
    </row>
    <row r="16" spans="3:23" x14ac:dyDescent="0.35">
      <c r="C16" t="s">
        <v>46</v>
      </c>
      <c r="R16" t="s">
        <v>21</v>
      </c>
      <c r="S16">
        <f>SUM(S10:S14)/1000000</f>
        <v>43918.189327584842</v>
      </c>
    </row>
    <row r="17" spans="3:14" ht="58" x14ac:dyDescent="0.35">
      <c r="C17" t="s">
        <v>8</v>
      </c>
      <c r="D17" s="1" t="s">
        <v>26</v>
      </c>
      <c r="E17" s="1" t="s">
        <v>12</v>
      </c>
      <c r="F17" s="1" t="s">
        <v>16</v>
      </c>
      <c r="G17" s="1" t="s">
        <v>25</v>
      </c>
      <c r="H17" s="1" t="s">
        <v>30</v>
      </c>
    </row>
    <row r="18" spans="3:14" x14ac:dyDescent="0.35">
      <c r="C18" t="s">
        <v>4</v>
      </c>
      <c r="D18" s="9">
        <f>(D13-3854)*12</f>
        <v>4846.4400000000096</v>
      </c>
      <c r="E18" s="1">
        <f>I13</f>
        <v>21.810000000000002</v>
      </c>
      <c r="F18" s="10">
        <v>0.42</v>
      </c>
      <c r="G18" s="11">
        <f>M13*(1-P13)</f>
        <v>659576.49045000004</v>
      </c>
      <c r="H18">
        <f>(G18*F18*E18*D18)</f>
        <v>29281475958.78606</v>
      </c>
      <c r="K18" t="s">
        <v>27</v>
      </c>
      <c r="N18" s="2">
        <f>S16/H21</f>
        <v>0.21235396431833495</v>
      </c>
    </row>
    <row r="19" spans="3:14" x14ac:dyDescent="0.35">
      <c r="C19" t="s">
        <v>5</v>
      </c>
      <c r="D19" s="9">
        <f>(D14-3854)*12</f>
        <v>37099.59320534351</v>
      </c>
      <c r="E19">
        <f>I14</f>
        <v>22.050000000000011</v>
      </c>
      <c r="F19" s="3">
        <v>0.32</v>
      </c>
      <c r="G19" s="11">
        <f>M14*(1-P14)</f>
        <v>678195.66029999999</v>
      </c>
      <c r="H19">
        <f>(G19*F19*E19*D19)</f>
        <v>177534485629.51794</v>
      </c>
    </row>
    <row r="21" spans="3:14" x14ac:dyDescent="0.35">
      <c r="G21" t="s">
        <v>21</v>
      </c>
      <c r="H21" s="8">
        <f>(H18+H19)/1000000</f>
        <v>206815.96158830402</v>
      </c>
    </row>
    <row r="22" spans="3:14" x14ac:dyDescent="0.35">
      <c r="C22" t="s">
        <v>8</v>
      </c>
      <c r="D22" t="s">
        <v>28</v>
      </c>
      <c r="K22" t="s">
        <v>23</v>
      </c>
      <c r="N22" s="2">
        <f>((D13-3854)*F18*N18)/D23</f>
        <v>2.0142323642865115E-2</v>
      </c>
    </row>
    <row r="23" spans="3:14" x14ac:dyDescent="0.35">
      <c r="C23" t="s">
        <v>4</v>
      </c>
      <c r="D23">
        <f>F18*D13</f>
        <v>1788.3054000000002</v>
      </c>
      <c r="K23" t="s">
        <v>24</v>
      </c>
      <c r="N23" s="2">
        <f>((D14-3854)*F19*N18)/D24</f>
        <v>9.4522773709165397E-2</v>
      </c>
    </row>
    <row r="24" spans="3:14" x14ac:dyDescent="0.35">
      <c r="C24" t="s">
        <v>5</v>
      </c>
      <c r="D24">
        <f>F19*D14</f>
        <v>2222.6024854758271</v>
      </c>
    </row>
    <row r="26" spans="3:14" x14ac:dyDescent="0.35">
      <c r="C26" t="s">
        <v>47</v>
      </c>
    </row>
    <row r="28" spans="3:14" x14ac:dyDescent="0.35">
      <c r="C28" t="s">
        <v>5</v>
      </c>
      <c r="D28">
        <f>(D14-4804)*12</f>
        <v>25699.593205343506</v>
      </c>
      <c r="E28">
        <f>I14</f>
        <v>22.050000000000011</v>
      </c>
      <c r="F28" s="15">
        <f>F19</f>
        <v>0.32</v>
      </c>
      <c r="G28">
        <f>M14*(1-P14)</f>
        <v>678195.66029999999</v>
      </c>
      <c r="H28">
        <f>D28*E28*F28*G28</f>
        <v>122981511828.04239</v>
      </c>
      <c r="K28" t="s">
        <v>27</v>
      </c>
      <c r="N28">
        <f>S16/H30</f>
        <v>0.35711212746345961</v>
      </c>
    </row>
    <row r="30" spans="3:14" x14ac:dyDescent="0.35">
      <c r="G30" t="s">
        <v>21</v>
      </c>
      <c r="H30">
        <f>H28/1000000</f>
        <v>122981.51182804239</v>
      </c>
      <c r="K30" t="s">
        <v>24</v>
      </c>
      <c r="N30" s="2">
        <f>((D14-4804)*F28*N28)/D24</f>
        <v>0.11011279452178953</v>
      </c>
    </row>
    <row r="34" spans="3:23" ht="87" x14ac:dyDescent="0.35">
      <c r="C34" t="s">
        <v>8</v>
      </c>
      <c r="D34" t="s">
        <v>7</v>
      </c>
      <c r="F34" s="4" t="s">
        <v>9</v>
      </c>
      <c r="G34" s="1" t="s">
        <v>10</v>
      </c>
      <c r="H34" s="1" t="s">
        <v>11</v>
      </c>
      <c r="I34" s="1" t="s">
        <v>12</v>
      </c>
      <c r="J34" s="5" t="s">
        <v>13</v>
      </c>
      <c r="K34" s="4" t="s">
        <v>14</v>
      </c>
      <c r="L34" t="s">
        <v>15</v>
      </c>
      <c r="M34" s="4" t="s">
        <v>17</v>
      </c>
      <c r="N34" s="4" t="s">
        <v>16</v>
      </c>
      <c r="O34" s="4" t="s">
        <v>18</v>
      </c>
      <c r="P34" s="4" t="s">
        <v>29</v>
      </c>
      <c r="Q34" s="7" t="s">
        <v>19</v>
      </c>
      <c r="R34" s="7" t="s">
        <v>49</v>
      </c>
      <c r="S34" s="4" t="s">
        <v>20</v>
      </c>
      <c r="T34" s="4" t="s">
        <v>55</v>
      </c>
      <c r="U34" s="4" t="s">
        <v>56</v>
      </c>
      <c r="V34" s="4" t="s">
        <v>57</v>
      </c>
      <c r="W34" s="4" t="s">
        <v>58</v>
      </c>
    </row>
    <row r="35" spans="3:23" x14ac:dyDescent="0.35">
      <c r="C35" t="s">
        <v>1</v>
      </c>
      <c r="D35">
        <v>2280.2800000000002</v>
      </c>
      <c r="F35">
        <v>81.400000000000006</v>
      </c>
      <c r="G35">
        <v>18.600000000000001</v>
      </c>
      <c r="H35">
        <f>G35+45</f>
        <v>63.6</v>
      </c>
      <c r="I35">
        <f>F35-H35</f>
        <v>17.800000000000004</v>
      </c>
      <c r="J35" s="6">
        <f>Pénibilité!E11</f>
        <v>5</v>
      </c>
      <c r="K35" s="2">
        <v>1.0106999999999999</v>
      </c>
      <c r="L35">
        <f>12*D35*J35*K35</f>
        <v>138280.73975999997</v>
      </c>
      <c r="M35">
        <v>715434</v>
      </c>
      <c r="N35">
        <v>62.917981210855949</v>
      </c>
      <c r="O35">
        <v>63</v>
      </c>
      <c r="P35" s="14">
        <v>0.2082</v>
      </c>
      <c r="Q35" s="12">
        <f>Pénibilité!E5</f>
        <v>0.5</v>
      </c>
      <c r="R35" s="12">
        <f>'Calcul pénibilité'!R10</f>
        <v>0</v>
      </c>
      <c r="S35">
        <f>L35*M35*Q35*(1-R35)*(1-P35)</f>
        <v>39166681062.427559</v>
      </c>
      <c r="T35">
        <f>H35-(Q35*J35)</f>
        <v>61.1</v>
      </c>
      <c r="U35" s="8">
        <f>I35*(O35/100)*D35*12</f>
        <v>306852.71904000011</v>
      </c>
      <c r="V35">
        <f>J35*D35*12*(O35/100)</f>
        <v>86194.584000000017</v>
      </c>
      <c r="W35" s="2">
        <f>V35/U35</f>
        <v>0.28089887640449435</v>
      </c>
    </row>
    <row r="36" spans="3:23" x14ac:dyDescent="0.35">
      <c r="C36" t="s">
        <v>2</v>
      </c>
      <c r="D36">
        <v>2938.6299999999997</v>
      </c>
      <c r="F36">
        <v>83.4</v>
      </c>
      <c r="G36">
        <v>18.899999999999999</v>
      </c>
      <c r="H36">
        <f>G36+45</f>
        <v>63.9</v>
      </c>
      <c r="I36">
        <f>F36-H36</f>
        <v>19.500000000000007</v>
      </c>
      <c r="J36" s="6">
        <f>Pénibilité!E12</f>
        <v>4</v>
      </c>
      <c r="K36" s="2">
        <v>0.93069999999999997</v>
      </c>
      <c r="L36">
        <f>12*D36*J36*K36</f>
        <v>131279.18116799998</v>
      </c>
      <c r="M36">
        <v>715434</v>
      </c>
      <c r="N36">
        <v>54.637065240083516</v>
      </c>
      <c r="O36">
        <v>55</v>
      </c>
      <c r="P36" s="14">
        <v>0.15615000000000001</v>
      </c>
      <c r="Q36" s="12">
        <f>Pénibilité!E6</f>
        <v>0.25</v>
      </c>
      <c r="R36" s="12">
        <f>'Calcul pénibilité'!R11</f>
        <v>0</v>
      </c>
      <c r="S36">
        <f>L36*M36*Q36*(1-R36)*(1-P36)</f>
        <v>19813933367.032856</v>
      </c>
      <c r="T36">
        <f t="shared" ref="T36:T39" si="4">H36-(Q36*J36)</f>
        <v>62.9</v>
      </c>
      <c r="U36" s="8">
        <f t="shared" ref="U36:U39" si="5">I36*(O36/100)*D36*12</f>
        <v>378201.6810000001</v>
      </c>
      <c r="V36">
        <f t="shared" ref="V36:V39" si="6">J36*D36*12*(O36/100)</f>
        <v>77579.831999999995</v>
      </c>
      <c r="W36" s="2">
        <f t="shared" ref="W36:W39" si="7">V36/U36</f>
        <v>0.20512820512820507</v>
      </c>
    </row>
    <row r="37" spans="3:23" x14ac:dyDescent="0.35">
      <c r="C37" t="s">
        <v>3</v>
      </c>
      <c r="D37">
        <v>3547.3</v>
      </c>
      <c r="F37">
        <v>85.4</v>
      </c>
      <c r="G37">
        <v>19.670000000000002</v>
      </c>
      <c r="H37">
        <f>G37+45</f>
        <v>64.67</v>
      </c>
      <c r="I37">
        <f>F37-H37</f>
        <v>20.730000000000004</v>
      </c>
      <c r="J37" s="6">
        <f>Pénibilité!E13</f>
        <v>3</v>
      </c>
      <c r="K37" s="2">
        <v>0.8506999999999999</v>
      </c>
      <c r="L37">
        <f>12*D37*J37*K37</f>
        <v>108636.77196</v>
      </c>
      <c r="M37">
        <v>715434</v>
      </c>
      <c r="N37">
        <v>46.981038622129432</v>
      </c>
      <c r="O37">
        <v>47</v>
      </c>
      <c r="P37" s="14">
        <v>0.1041</v>
      </c>
      <c r="Q37" s="12">
        <f>Pénibilité!E7</f>
        <v>0.22500000000000001</v>
      </c>
      <c r="R37" s="12">
        <f>'Calcul pénibilité'!R12</f>
        <v>0</v>
      </c>
      <c r="S37">
        <f>L37*M37*Q37*(1-R37)*(1-P37)</f>
        <v>15667095211.675833</v>
      </c>
      <c r="T37">
        <f t="shared" si="4"/>
        <v>63.995000000000005</v>
      </c>
      <c r="U37" s="8">
        <f t="shared" si="5"/>
        <v>414740.3835600001</v>
      </c>
      <c r="V37">
        <f t="shared" si="6"/>
        <v>60020.316000000006</v>
      </c>
      <c r="W37" s="2">
        <f t="shared" si="7"/>
        <v>0.14471780028943557</v>
      </c>
    </row>
    <row r="38" spans="3:23" x14ac:dyDescent="0.35">
      <c r="C38" t="s">
        <v>4</v>
      </c>
      <c r="D38">
        <v>4257.8700000000008</v>
      </c>
      <c r="F38">
        <v>87.4</v>
      </c>
      <c r="G38">
        <v>20.59</v>
      </c>
      <c r="H38">
        <f>G38+45</f>
        <v>65.59</v>
      </c>
      <c r="I38">
        <f>F38-H38</f>
        <v>21.810000000000002</v>
      </c>
      <c r="J38" s="6">
        <f>Pénibilité!E14</f>
        <v>0</v>
      </c>
      <c r="K38" s="2">
        <v>0.80069999999999997</v>
      </c>
      <c r="L38">
        <f>12*D38*J38*K38</f>
        <v>0</v>
      </c>
      <c r="M38">
        <v>715434</v>
      </c>
      <c r="N38">
        <v>41.82188048016701</v>
      </c>
      <c r="O38">
        <v>42</v>
      </c>
      <c r="P38" s="14">
        <v>7.8075000000000006E-2</v>
      </c>
      <c r="Q38" s="12">
        <f>Pénibilité!E8</f>
        <v>0</v>
      </c>
      <c r="R38" s="12">
        <f>'Calcul pénibilité'!R13</f>
        <v>0</v>
      </c>
      <c r="S38">
        <f>L38*M38*Q38*(1-R38)*(1-P38)</f>
        <v>0</v>
      </c>
      <c r="T38">
        <f t="shared" si="4"/>
        <v>65.59</v>
      </c>
      <c r="U38" s="8">
        <f t="shared" si="5"/>
        <v>468035.2892880002</v>
      </c>
      <c r="V38">
        <f t="shared" si="6"/>
        <v>0</v>
      </c>
      <c r="W38" s="2">
        <f t="shared" si="7"/>
        <v>0</v>
      </c>
    </row>
    <row r="39" spans="3:23" x14ac:dyDescent="0.35">
      <c r="C39" t="s">
        <v>5</v>
      </c>
      <c r="D39">
        <v>6945.6327671119589</v>
      </c>
      <c r="F39">
        <v>89.4</v>
      </c>
      <c r="G39">
        <v>22.35</v>
      </c>
      <c r="H39">
        <f>G39+45</f>
        <v>67.349999999999994</v>
      </c>
      <c r="I39">
        <f>F39-H39</f>
        <v>22.050000000000011</v>
      </c>
      <c r="J39" s="6">
        <f>Pénibilité!E15</f>
        <v>0</v>
      </c>
      <c r="K39" s="2">
        <v>0.70069999999999988</v>
      </c>
      <c r="L39">
        <f>12*D39*J39*K39</f>
        <v>0</v>
      </c>
      <c r="M39">
        <v>715434</v>
      </c>
      <c r="N39">
        <v>31.862008013311634</v>
      </c>
      <c r="O39">
        <v>32</v>
      </c>
      <c r="P39" s="14">
        <v>5.2049999999999999E-2</v>
      </c>
      <c r="Q39" s="12">
        <f>Pénibilité!E9</f>
        <v>0</v>
      </c>
      <c r="R39" s="12">
        <f>'Calcul pénibilité'!R14</f>
        <v>0</v>
      </c>
      <c r="S39">
        <f>L39*M39*Q39*(1-R39)*(1-P39)</f>
        <v>0</v>
      </c>
      <c r="T39">
        <f t="shared" si="4"/>
        <v>67.349999999999994</v>
      </c>
      <c r="U39" s="8">
        <f t="shared" si="5"/>
        <v>588100.61765690404</v>
      </c>
      <c r="V39">
        <f t="shared" si="6"/>
        <v>0</v>
      </c>
      <c r="W39" s="2">
        <f t="shared" si="7"/>
        <v>0</v>
      </c>
    </row>
    <row r="41" spans="3:23" x14ac:dyDescent="0.35">
      <c r="C41" t="s">
        <v>46</v>
      </c>
      <c r="R41" t="s">
        <v>21</v>
      </c>
      <c r="S41">
        <f>SUM(S35:S39)/1000000</f>
        <v>74647.709641136244</v>
      </c>
    </row>
    <row r="42" spans="3:23" ht="58" x14ac:dyDescent="0.35">
      <c r="C42" t="s">
        <v>8</v>
      </c>
      <c r="D42" s="1" t="s">
        <v>26</v>
      </c>
      <c r="E42" s="1" t="s">
        <v>12</v>
      </c>
      <c r="F42" s="1" t="s">
        <v>16</v>
      </c>
      <c r="G42" s="1" t="s">
        <v>25</v>
      </c>
      <c r="H42" s="1" t="s">
        <v>30</v>
      </c>
    </row>
    <row r="43" spans="3:23" x14ac:dyDescent="0.35">
      <c r="C43" t="s">
        <v>4</v>
      </c>
      <c r="D43" s="9">
        <f>(D38-3854)*12</f>
        <v>4846.4400000000096</v>
      </c>
      <c r="E43" s="1">
        <f>I38</f>
        <v>21.810000000000002</v>
      </c>
      <c r="F43" s="10">
        <v>0.42</v>
      </c>
      <c r="G43" s="11">
        <f>M38*(1-P38)</f>
        <v>659576.49045000004</v>
      </c>
      <c r="H43">
        <f>(G43*F43*E43*D43)</f>
        <v>29281475958.78606</v>
      </c>
      <c r="K43" t="s">
        <v>27</v>
      </c>
      <c r="N43" s="2">
        <f>S41/H46</f>
        <v>0.36093785541433648</v>
      </c>
    </row>
    <row r="44" spans="3:23" x14ac:dyDescent="0.35">
      <c r="C44" t="s">
        <v>5</v>
      </c>
      <c r="D44" s="9">
        <f>(D39-3854)*12</f>
        <v>37099.59320534351</v>
      </c>
      <c r="E44">
        <f>I39</f>
        <v>22.050000000000011</v>
      </c>
      <c r="F44" s="3">
        <v>0.32</v>
      </c>
      <c r="G44" s="11">
        <f>M39*(1-P39)</f>
        <v>678195.66029999999</v>
      </c>
      <c r="H44">
        <f>(G44*F44*E44*D44)</f>
        <v>177534485629.51794</v>
      </c>
    </row>
    <row r="46" spans="3:23" x14ac:dyDescent="0.35">
      <c r="G46" t="s">
        <v>21</v>
      </c>
      <c r="H46" s="8">
        <f>(H43+H44)/1000000</f>
        <v>206815.96158830402</v>
      </c>
    </row>
    <row r="47" spans="3:23" x14ac:dyDescent="0.35">
      <c r="C47" t="s">
        <v>8</v>
      </c>
      <c r="D47" t="s">
        <v>28</v>
      </c>
      <c r="K47" t="s">
        <v>23</v>
      </c>
      <c r="N47" s="2">
        <f>((D38-3854)*F43*N43)/D48</f>
        <v>3.4235890636911959E-2</v>
      </c>
    </row>
    <row r="48" spans="3:23" x14ac:dyDescent="0.35">
      <c r="C48" t="s">
        <v>4</v>
      </c>
      <c r="D48">
        <f>F43*D38</f>
        <v>1788.3054000000002</v>
      </c>
      <c r="K48" t="s">
        <v>24</v>
      </c>
      <c r="N48" s="2">
        <f>((D39-3854)*F44*N43)/D49</f>
        <v>0.16066027935912233</v>
      </c>
    </row>
    <row r="49" spans="3:14" x14ac:dyDescent="0.35">
      <c r="C49" t="s">
        <v>5</v>
      </c>
      <c r="D49">
        <f>F44*D39</f>
        <v>2222.6024854758271</v>
      </c>
    </row>
    <row r="51" spans="3:14" x14ac:dyDescent="0.35">
      <c r="C51" t="s">
        <v>47</v>
      </c>
    </row>
    <row r="53" spans="3:14" x14ac:dyDescent="0.35">
      <c r="C53" t="s">
        <v>5</v>
      </c>
      <c r="D53">
        <f>(D39-4804)*12</f>
        <v>25699.593205343506</v>
      </c>
      <c r="E53">
        <f>I39</f>
        <v>22.050000000000011</v>
      </c>
      <c r="F53" s="15">
        <f>F44</f>
        <v>0.32</v>
      </c>
      <c r="G53">
        <f>M39*(1-P39)</f>
        <v>678195.66029999999</v>
      </c>
      <c r="H53">
        <f>D53*E53*F53*G53</f>
        <v>122981511828.04239</v>
      </c>
      <c r="K53" t="s">
        <v>27</v>
      </c>
      <c r="N53">
        <f>S41/H55</f>
        <v>0.60698318415138386</v>
      </c>
    </row>
    <row r="55" spans="3:14" x14ac:dyDescent="0.35">
      <c r="G55" t="s">
        <v>21</v>
      </c>
      <c r="H55">
        <f>H53/1000000</f>
        <v>122981.51182804239</v>
      </c>
      <c r="K55" t="s">
        <v>24</v>
      </c>
      <c r="N55" s="2">
        <f>((D39-4804)*F53*N53)/D49</f>
        <v>0.18715862468569261</v>
      </c>
    </row>
  </sheetData>
  <sheetProtection algorithmName="SHA-512" hashValue="/6GcgCWkd0ta6ISUmUi98dM4l6oObXratIRvPlYt49WQgaR1F2BRSDE0w9QelCDsC/zPyRU59TkAqevHgeN6yg==" saltValue="pEBP0R6dEKcsJcQF4pHv7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Cover</vt:lpstr>
      <vt:lpstr>Pénibilité</vt:lpstr>
      <vt:lpstr>Longévité</vt:lpstr>
      <vt:lpstr>Anticipation</vt:lpstr>
      <vt:lpstr>Mixte</vt:lpstr>
      <vt:lpstr>Calcul longévité</vt:lpstr>
      <vt:lpstr>Calcul anticipation</vt:lpstr>
      <vt:lpstr>Calcul Mixte</vt:lpstr>
      <vt:lpstr>Calcul pénibilité</vt:lpstr>
    </vt:vector>
  </TitlesOfParts>
  <Company>Université de Namur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COLLOT</dc:creator>
  <cp:lastModifiedBy>Jean Hindriks</cp:lastModifiedBy>
  <dcterms:created xsi:type="dcterms:W3CDTF">2023-11-01T07:43:03Z</dcterms:created>
  <dcterms:modified xsi:type="dcterms:W3CDTF">2024-04-19T08:15:58Z</dcterms:modified>
</cp:coreProperties>
</file>